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exb180000\Box\Budget Drive\Benefits\"/>
    </mc:Choice>
  </mc:AlternateContent>
  <xr:revisionPtr revIDLastSave="0" documentId="13_ncr:1_{5C3E3BC2-61FC-40EB-A1FC-85E363283D4C}" xr6:coauthVersionLast="47" xr6:coauthVersionMax="47" xr10:uidLastSave="{00000000-0000-0000-0000-000000000000}"/>
  <bookViews>
    <workbookView xWindow="-120" yWindow="480" windowWidth="29040" windowHeight="15840" xr2:uid="{00000000-000D-0000-FFFF-FFFF00000000}"/>
  </bookViews>
  <sheets>
    <sheet name="FY24" sheetId="6" r:id="rId1"/>
    <sheet name="FY23" sheetId="5" r:id="rId2"/>
    <sheet name="FY22" sheetId="4" r:id="rId3"/>
    <sheet name="FY21" sheetId="3" r:id="rId4"/>
    <sheet name="FY20" sheetId="2" r:id="rId5"/>
    <sheet name="FY19" sheetId="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6" l="1"/>
  <c r="H34" i="6"/>
  <c r="I35" i="6" l="1"/>
  <c r="I34" i="6"/>
  <c r="I33" i="6"/>
  <c r="I32" i="6"/>
  <c r="H39" i="6" l="1"/>
  <c r="E39" i="6"/>
  <c r="H33" i="6"/>
  <c r="H32" i="6"/>
  <c r="F35" i="6"/>
  <c r="F34" i="6"/>
  <c r="F33" i="6"/>
  <c r="F32" i="6"/>
  <c r="E26" i="6"/>
  <c r="I36" i="6"/>
  <c r="F36" i="6"/>
  <c r="M30" i="6"/>
  <c r="L28" i="6"/>
  <c r="M28" i="6" s="1"/>
  <c r="E28" i="6"/>
  <c r="L27" i="6"/>
  <c r="M27" i="6" s="1"/>
  <c r="E27" i="6"/>
  <c r="L26" i="6"/>
  <c r="M26" i="6" s="1"/>
  <c r="L25" i="6"/>
  <c r="M25" i="6" s="1"/>
  <c r="E25" i="6"/>
  <c r="M24" i="6"/>
  <c r="L24" i="6"/>
  <c r="E24" i="6"/>
  <c r="M23" i="6"/>
  <c r="L23" i="6"/>
  <c r="E23" i="6"/>
  <c r="L22" i="6"/>
  <c r="E22" i="6"/>
  <c r="E21" i="6"/>
  <c r="E20" i="6"/>
  <c r="E26" i="5"/>
  <c r="E19" i="6" l="1"/>
  <c r="L10" i="6" s="1"/>
  <c r="L11" i="6" s="1"/>
  <c r="H36" i="6"/>
  <c r="H37" i="6" s="1"/>
  <c r="L29" i="6"/>
  <c r="M22" i="6"/>
  <c r="M29" i="6" s="1"/>
  <c r="M31" i="6" s="1"/>
  <c r="M32" i="6" s="1"/>
  <c r="E36" i="6"/>
  <c r="E37" i="6" s="1"/>
  <c r="L12" i="6" s="1"/>
  <c r="L12" i="4"/>
  <c r="M30" i="5"/>
  <c r="L28" i="5"/>
  <c r="M28" i="5" s="1"/>
  <c r="L27" i="5"/>
  <c r="M27" i="5" s="1"/>
  <c r="L26" i="5"/>
  <c r="M26" i="5" s="1"/>
  <c r="L25" i="5"/>
  <c r="M25" i="5" s="1"/>
  <c r="L24" i="5"/>
  <c r="M24" i="5" s="1"/>
  <c r="L23" i="5"/>
  <c r="M23" i="5" s="1"/>
  <c r="L22" i="5"/>
  <c r="M22" i="5" s="1"/>
  <c r="E28" i="5"/>
  <c r="E27" i="5"/>
  <c r="L13" i="6" l="1"/>
  <c r="L14" i="6" s="1"/>
  <c r="I35" i="5"/>
  <c r="F35" i="5"/>
  <c r="I34" i="5"/>
  <c r="F34" i="5"/>
  <c r="I33" i="5"/>
  <c r="F33" i="5"/>
  <c r="I32" i="5"/>
  <c r="F32" i="5"/>
  <c r="L29" i="5"/>
  <c r="E23" i="5"/>
  <c r="E22" i="5"/>
  <c r="E21" i="5"/>
  <c r="E20" i="5"/>
  <c r="E9" i="5"/>
  <c r="E24" i="5" s="1"/>
  <c r="M28" i="4"/>
  <c r="M27" i="4"/>
  <c r="M26" i="4"/>
  <c r="M25" i="4"/>
  <c r="M24" i="4"/>
  <c r="M23" i="4"/>
  <c r="M22" i="4"/>
  <c r="F36" i="5" l="1"/>
  <c r="I36" i="5"/>
  <c r="H36" i="5"/>
  <c r="H37" i="5" s="1"/>
  <c r="M29" i="5"/>
  <c r="M31" i="5" s="1"/>
  <c r="M32" i="5" s="1"/>
  <c r="E19" i="5"/>
  <c r="L10" i="5" s="1"/>
  <c r="L11" i="5" s="1"/>
  <c r="E25" i="5"/>
  <c r="E36" i="5"/>
  <c r="E37" i="5" s="1"/>
  <c r="L12" i="5" s="1"/>
  <c r="M29" i="4"/>
  <c r="L29" i="4"/>
  <c r="M30" i="4"/>
  <c r="L11" i="4"/>
  <c r="L13" i="5" l="1"/>
  <c r="L14" i="5" s="1"/>
  <c r="L13" i="4"/>
  <c r="L14" i="4" s="1"/>
  <c r="M31" i="4"/>
  <c r="M32" i="4" s="1"/>
  <c r="E22" i="4"/>
  <c r="E20" i="4"/>
  <c r="E9" i="4"/>
  <c r="E25" i="4" s="1"/>
  <c r="E24" i="4" l="1"/>
  <c r="F32" i="4" l="1"/>
  <c r="F35" i="4"/>
  <c r="F34" i="4"/>
  <c r="F33" i="4"/>
  <c r="F36" i="4" l="1"/>
  <c r="I35" i="4"/>
  <c r="I34" i="4"/>
  <c r="I33" i="4"/>
  <c r="I32" i="4"/>
  <c r="E36" i="4"/>
  <c r="E37" i="4" s="1"/>
  <c r="E28" i="4"/>
  <c r="E27" i="4"/>
  <c r="E23" i="4"/>
  <c r="E21" i="4"/>
  <c r="E19" i="4" s="1"/>
  <c r="H30" i="3"/>
  <c r="H29" i="3"/>
  <c r="H28" i="3"/>
  <c r="H27" i="3"/>
  <c r="E30" i="3"/>
  <c r="E29" i="3"/>
  <c r="E28" i="3"/>
  <c r="E27" i="3"/>
  <c r="I36" i="4" l="1"/>
  <c r="H36" i="4"/>
  <c r="H37" i="4" s="1"/>
  <c r="D23" i="3"/>
  <c r="D22" i="3"/>
  <c r="D21" i="3"/>
  <c r="D20" i="3"/>
  <c r="D19" i="3"/>
  <c r="D18" i="3"/>
  <c r="D17" i="3" l="1"/>
  <c r="G31" i="3" l="1"/>
  <c r="G32" i="3" s="1"/>
  <c r="H31" i="3"/>
  <c r="E31" i="3"/>
  <c r="D31" i="3" l="1"/>
  <c r="D32" i="3" s="1"/>
  <c r="H29" i="2"/>
  <c r="E29" i="2"/>
  <c r="H28" i="2"/>
  <c r="E28" i="2"/>
  <c r="H27" i="2"/>
  <c r="E27" i="2"/>
  <c r="H26" i="2"/>
  <c r="G30" i="2" s="1"/>
  <c r="G31" i="2" s="1"/>
  <c r="E26" i="2"/>
  <c r="D22" i="2"/>
  <c r="D21" i="2"/>
  <c r="D20" i="2"/>
  <c r="D19" i="2"/>
  <c r="D18" i="2"/>
  <c r="D17" i="2"/>
  <c r="H30" i="2" l="1"/>
  <c r="E30" i="2"/>
  <c r="D16" i="2"/>
  <c r="D30" i="2"/>
  <c r="D31" i="2" s="1"/>
  <c r="H29" i="1"/>
  <c r="H28" i="1"/>
  <c r="H27" i="1"/>
  <c r="H26" i="1"/>
  <c r="E29" i="1"/>
  <c r="E28" i="1"/>
  <c r="E27" i="1"/>
  <c r="E26" i="1"/>
  <c r="D30" i="1" l="1"/>
  <c r="D31" i="1" s="1"/>
  <c r="H30" i="1"/>
  <c r="G30" i="1"/>
  <c r="G31" i="1" s="1"/>
  <c r="E30" i="1"/>
  <c r="D22" i="1" l="1"/>
  <c r="D21" i="1"/>
  <c r="D20" i="1"/>
  <c r="D19" i="1"/>
  <c r="D18" i="1"/>
  <c r="D17" i="1"/>
  <c r="D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Eva Burnett</author>
  </authors>
  <commentList>
    <comment ref="F32" authorId="0" shapeId="0" xr:uid="{59F7CD9F-A4E5-4F93-AA6B-791373067534}">
      <text>
        <r>
          <rPr>
            <b/>
            <sz val="9"/>
            <color indexed="81"/>
            <rFont val="Tahoma"/>
            <family val="2"/>
          </rPr>
          <t>Eva Burnett:</t>
        </r>
        <r>
          <rPr>
            <sz val="9"/>
            <color indexed="81"/>
            <rFont val="Tahoma"/>
            <family val="2"/>
          </rPr>
          <t xml:space="preserve">
from Oct 2022 Sch3B GIP update report (active Full Time only)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Eva Burnett</author>
  </authors>
  <commentList>
    <comment ref="F32" authorId="0" shapeId="0" xr:uid="{DE7A0288-BE0E-4E80-A690-865748913E1B}">
      <text>
        <r>
          <rPr>
            <b/>
            <sz val="9"/>
            <color indexed="81"/>
            <rFont val="Tahoma"/>
            <family val="2"/>
          </rPr>
          <t>Eva Burnett:</t>
        </r>
        <r>
          <rPr>
            <sz val="9"/>
            <color indexed="81"/>
            <rFont val="Tahoma"/>
            <family val="2"/>
          </rPr>
          <t xml:space="preserve">
from 2/1/21 Sch3B GIP update report (active Full Time only)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Eva Burnett</author>
  </authors>
  <commentList>
    <comment ref="F32" authorId="0" shapeId="0" xr:uid="{9BFD875E-E948-4882-BBBA-F696B67EEC94}">
      <text>
        <r>
          <rPr>
            <b/>
            <sz val="9"/>
            <color indexed="81"/>
            <rFont val="Tahoma"/>
            <family val="2"/>
          </rPr>
          <t>Eva Burnett:</t>
        </r>
        <r>
          <rPr>
            <sz val="9"/>
            <color indexed="81"/>
            <rFont val="Tahoma"/>
            <family val="2"/>
          </rPr>
          <t xml:space="preserve">
from 2/1/21 Sch3B GIP update report (active Full Time only)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Burnett, Eva</author>
  </authors>
  <commentList>
    <comment ref="E27" authorId="0" shapeId="0" xr:uid="{00000000-0006-0000-0000-000001000000}">
      <text>
        <r>
          <rPr>
            <b/>
            <sz val="9"/>
            <color indexed="81"/>
            <rFont val="Tahoma"/>
            <family val="2"/>
          </rPr>
          <t>Burnett, Eva:</t>
        </r>
        <r>
          <rPr>
            <sz val="9"/>
            <color indexed="81"/>
            <rFont val="Tahoma"/>
            <family val="2"/>
          </rPr>
          <t xml:space="preserve">
per 5/31/20 3B report</t>
        </r>
      </text>
    </comment>
  </commentList>
</comments>
</file>

<file path=xl/sharedStrings.xml><?xml version="1.0" encoding="utf-8"?>
<sst xmlns="http://schemas.openxmlformats.org/spreadsheetml/2006/main" count="448" uniqueCount="111">
  <si>
    <t>Account</t>
  </si>
  <si>
    <t>Account Description</t>
  </si>
  <si>
    <t>OASI - Social Security</t>
  </si>
  <si>
    <t>FICA Employer's</t>
  </si>
  <si>
    <t>Medicare Employer's</t>
  </si>
  <si>
    <t>OASI - Medicare</t>
  </si>
  <si>
    <t>TRS Proportional 6%</t>
  </si>
  <si>
    <t>TRS</t>
  </si>
  <si>
    <t>Rate</t>
  </si>
  <si>
    <t>ORP - state</t>
  </si>
  <si>
    <t>ORP - institutional</t>
  </si>
  <si>
    <t>VSL</t>
  </si>
  <si>
    <t>WCI</t>
  </si>
  <si>
    <t>UCI</t>
  </si>
  <si>
    <t>Vacation Pay/Termination</t>
  </si>
  <si>
    <t>Worker's Comp Insurance</t>
  </si>
  <si>
    <t>Unemployment Compensation</t>
  </si>
  <si>
    <t>ORP Supplemental</t>
  </si>
  <si>
    <t>Optional Retirement Plan (ORP)</t>
  </si>
  <si>
    <t>Benefit</t>
  </si>
  <si>
    <t>Fringe Benefit Rate Excluding Insurance</t>
  </si>
  <si>
    <t>Staff with TRS</t>
  </si>
  <si>
    <t>Staff with ORP</t>
  </si>
  <si>
    <t>Faculty with TRS</t>
  </si>
  <si>
    <t>Faculty with ORP</t>
  </si>
  <si>
    <t>Average Faculty or Staff</t>
  </si>
  <si>
    <t>Premium Sharing</t>
  </si>
  <si>
    <t>Employee only</t>
  </si>
  <si>
    <t>Empl &amp; Spouse</t>
  </si>
  <si>
    <t>Empl &amp; Child</t>
  </si>
  <si>
    <t>Empl &amp; Fam</t>
  </si>
  <si>
    <t>Full-Time</t>
  </si>
  <si>
    <t>Part-Time</t>
  </si>
  <si>
    <t>Avg. Election</t>
  </si>
  <si>
    <t>FY2019</t>
  </si>
  <si>
    <t>$128,400 for 2018 and $132,900 for 2019</t>
  </si>
  <si>
    <t>Annualized average rate</t>
  </si>
  <si>
    <t>Average monthly rate</t>
  </si>
  <si>
    <t>Medical Insurance</t>
  </si>
  <si>
    <t>Fringe Benefits Rates</t>
  </si>
  <si>
    <t>Ceiling (max charged per calendar year)</t>
  </si>
  <si>
    <t>FY2020</t>
  </si>
  <si>
    <t>$132,900 for 2019 and $137,700 for 2020</t>
  </si>
  <si>
    <t>FY2021</t>
  </si>
  <si>
    <t>Retiree assessment</t>
  </si>
  <si>
    <t>Retiree Premium Sharing</t>
  </si>
  <si>
    <t>FY2022</t>
  </si>
  <si>
    <t>$137,700 for 2020 and $142,800 for 2021</t>
  </si>
  <si>
    <t>Wages Students</t>
  </si>
  <si>
    <t>Wages Non-Students (not benefits eligible)</t>
  </si>
  <si>
    <t>ACA Eligible Notice:  Please plan your budget accordingly.</t>
  </si>
  <si>
    <t>ACA Benefits eligible (regardless of FTE or hours in the current job data will be considered Full-time benefits eligible.</t>
  </si>
  <si>
    <t>Contact Pearl Gutierrez or Marita Yancey to confirm ACA eligibility.</t>
  </si>
  <si>
    <t>2) Part-time or temporary employees (including student employees(HRN) and RA/TA/GA) who are measured to have worked an average of 30 hours per week during a 12-month initial (from hire date) or standard (6/3-6/4 of each year) measurement period, they will become full-time benefits eligible based on such measurement.  Therefore, benefits expenses must be budgeted for such person.</t>
  </si>
  <si>
    <t>TRS - retiree surcharge</t>
  </si>
  <si>
    <t>Vacation Payout Accrual</t>
  </si>
  <si>
    <t>TRS Employer Contribution</t>
  </si>
  <si>
    <t>TRS Employer Contribution*</t>
  </si>
  <si>
    <t>RA/TA/GAs</t>
  </si>
  <si>
    <t>Effective Date</t>
  </si>
  <si>
    <t>9/1 (pay period)</t>
  </si>
  <si>
    <t>1/1 (pay date)</t>
  </si>
  <si>
    <t>$142,800 for 2021 and $147,000 for 2022</t>
  </si>
  <si>
    <t>Ceiling (max charged per year)</t>
  </si>
  <si>
    <t>1)  If an employee was previously full-time benefits eligible, then reduced hours/FTE to non-benefits eligible, more than likely the employee will be measured ACA Benefits eligible. Benefits budget must be considered for the remainder of the fiscal year or maybe two fiscal years depending on the measurement periods in which the person became ACA eligible.</t>
  </si>
  <si>
    <t>Staff with TRS - retiree return to work*</t>
  </si>
  <si>
    <t>Faculty with TRS - retiree return to work*</t>
  </si>
  <si>
    <t>https://www.trs.texas.gov/TRS%20Documents/employment_after_retirement.pdf</t>
  </si>
  <si>
    <t>* A TRS surcharge applies to retirees returning to work for more than 20 hours per week.  The surcharge rate is equal to the current TRS rate plus the current member TRS rate.</t>
  </si>
  <si>
    <t>Example:</t>
  </si>
  <si>
    <t>You would like to calculate the estimated benefit expenses for 20 faculty and staff in your department or school. Total salaries are $1.5M.</t>
  </si>
  <si>
    <t>Salaries</t>
  </si>
  <si>
    <t>(x) Average Faculty or Staff</t>
  </si>
  <si>
    <t>(=) Fringe Benefits (excl Ins)</t>
  </si>
  <si>
    <t>(=) Total Benefits</t>
  </si>
  <si>
    <t>Salaries to Benefits %</t>
  </si>
  <si>
    <r>
      <rPr>
        <b/>
        <sz val="11"/>
        <color theme="1"/>
        <rFont val="Calibri"/>
        <family val="2"/>
        <scheme val="minor"/>
      </rPr>
      <t>Recommended Use:</t>
    </r>
    <r>
      <rPr>
        <sz val="11"/>
        <color theme="1"/>
        <rFont val="Calibri"/>
        <family val="2"/>
        <scheme val="minor"/>
      </rPr>
      <t xml:space="preserve"> To calculate benefits for employees whose selections are known.</t>
    </r>
  </si>
  <si>
    <t>You would like to calculate the benefit expenses for a staff member earning $60K with TRS and Empl &amp; Fam plan</t>
  </si>
  <si>
    <t>Total Benefits</t>
  </si>
  <si>
    <t>Salary to Benefits</t>
  </si>
  <si>
    <t>Total</t>
  </si>
  <si>
    <r>
      <rPr>
        <b/>
        <sz val="11"/>
        <color theme="1"/>
        <rFont val="Calibri"/>
        <family val="2"/>
        <scheme val="minor"/>
      </rPr>
      <t xml:space="preserve">Recommended Use: </t>
    </r>
    <r>
      <rPr>
        <sz val="11"/>
        <color theme="1"/>
        <rFont val="Calibri"/>
        <family val="2"/>
        <scheme val="minor"/>
      </rPr>
      <t>To estimate benefits for a group of employees or whose specific selections are unknown</t>
    </r>
  </si>
  <si>
    <t>Total tax rate</t>
  </si>
  <si>
    <t>Medical ($1,169.89 x 12 months)</t>
  </si>
  <si>
    <t>1/1 (pay period)</t>
  </si>
  <si>
    <t>(rev. 5/19/22)</t>
  </si>
  <si>
    <r>
      <t xml:space="preserve">3) </t>
    </r>
    <r>
      <rPr>
        <b/>
        <sz val="11"/>
        <rFont val="Calibri"/>
        <family val="2"/>
        <scheme val="minor"/>
      </rPr>
      <t>26 Weeks ACA Rehire Rule for Higher Education</t>
    </r>
    <r>
      <rPr>
        <sz val="11"/>
        <rFont val="Calibri"/>
        <family val="2"/>
        <scheme val="minor"/>
      </rPr>
      <t>: If an employee was previously full-time benefits eligible, then the position was terminated, and the employee is later rehired within 26 weeks following the termination, but rehired in a non-benefits eligible role, more than likely the employee will be measured ACA Benefits eligible. Benefits budget must be considered for the remainder of the fiscal year or maybe two fiscal years depending on the measurement periods in which the person became ACA eligible.</t>
    </r>
  </si>
  <si>
    <t>FY2023</t>
  </si>
  <si>
    <t>Medical ($1,257.62 x 12 months)</t>
  </si>
  <si>
    <t>(+) Medical Insurance ($9,651.12 x 20 FTEs)</t>
  </si>
  <si>
    <t>(+) Medical Insurance ($10,374.84 x 20 FTEs)</t>
  </si>
  <si>
    <t xml:space="preserve">1)  If an employee was previously full-time benefits eligible, then reduced hours/FTE to non-benefits eligible, there is a high probability the employee will be eligible to maintain full-time benefits based on measurement rules under the ACA. When this applies, departments must budget for full-time insurance costs for the remainder of the fiscal year or maybe two fiscal years depending on the measurement periods in which the person became ACA eligible. Even if the person is only working 1 hour/week, if ACA applies, the department is responsible for paying full-time employer medical premiums based on ACA guidelines. </t>
  </si>
  <si>
    <t>$147,000 for 2022 and $160,200 for 2023</t>
  </si>
  <si>
    <t>Waived Medical**</t>
  </si>
  <si>
    <t>Premium Sharing Credit Plan</t>
  </si>
  <si>
    <t>** Staff &amp; Faculty who waive the UTD medical plan and can provide proof of outside medical group insurance, will qualify for the Premium Sharing Plan. Full-Time employees qualify for a maximum of $337.58/month in credit. Part-Time benefits eligible employees qualify for a maximum of $168.79/month in credits. Credits can only be used for employee Dental/Vision/AD&amp;D plans. Based on the Employee's enrollment in D/V/AD&amp;D, the range of credits can range but will not exceed $168.79/month for part-timers, or $337.58/month for full-timers.  The department would need to budget for this cost.</t>
  </si>
  <si>
    <t xml:space="preserve">** RA/TA/GA's who qualify for free UTD SHIP medical based on employment as RA/TA/GA for 20 hours/week (0.5 FTE), also qualify for the Employee Premium Sharing Credit Plan.  The Premium Sharing Credit Plan offers a maximum of $168.79/month in credits that can be used to pay for their Dental/Vision/AD&amp;D benefits.  Based on the RATAGA's employee enrollment in D/V/AD&amp;D, the range of credits can range but will not exceed $168.79/month.  The hiring department would need to budget for this cost.  </t>
  </si>
  <si>
    <t>8/1 (pay period)</t>
  </si>
  <si>
    <t>RA-TA SHIP Employer Provided</t>
  </si>
  <si>
    <t>RA/TA/GA SHIP</t>
  </si>
  <si>
    <t>(rev. 3/2/23)</t>
  </si>
  <si>
    <t>FY2024</t>
  </si>
  <si>
    <t>** Staff &amp; Faculty who waive the UTD medical plan and can provide proof of outside medical group insurance, will qualify for the Premium Sharing Plan. Full-Time employees qualify for a maximum of $362.90/month in credit. Part-Time benefits eligible employees qualify for a maximum of $181.45/month in credits. Credits can only be used for employee Dental/Vision/AD&amp;D plans. Based on the Employee's enrollment in D/V/AD&amp;D, the range of credits can range but will not exceed $181.45/month for part-timers, or $362.90/month for full-timers.  The department would need to budget for this cost.</t>
  </si>
  <si>
    <t xml:space="preserve">** RA/TA/GA's who qualify for free UTD SHIP medical based on employment as RA/TA/GA for 20 hours/week (0.5 FTE), also qualify for the Employee Premium Sharing Credit Plan.  The Premium Sharing Credit Plan offers a maximum of $181.45/month in credits that can be used to pay for their Dental/Vision/AD&amp;D benefits.  Based on the RATAGA's employee enrollment in D/V/AD&amp;D, the range of credits can range but will not exceed $181.45/month.  The hiring department would need to budget for this cost.  </t>
  </si>
  <si>
    <t>TRS-Care Surcharge: $535</t>
  </si>
  <si>
    <t>$160,200 for 2023 and $168,600 for 2024</t>
  </si>
  <si>
    <t>12/1 (pay period)</t>
  </si>
  <si>
    <t>(1.7% - 9/1-11/30/23)</t>
  </si>
  <si>
    <t>(2.5% - 9/1-11/30/23)</t>
  </si>
  <si>
    <t>rate effective through 7/31/2025</t>
  </si>
  <si>
    <t>(rev. 3/26/2024)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</si>
</sst>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00%"/>
    <numFmt numFmtId="167" formatCode="&quot;$&quot;#,##0"/>
    <numFmt numFmtId="168"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sz val="16"/>
      <color theme="1"/>
      <name val="Calibri"/>
      <family val="2"/>
      <scheme val="minor"/>
    </font>
    <font>
      <sz val="9"/>
      <color indexed="81"/>
      <name val="Tahoma"/>
      <family val="2"/>
    </font>
    <font>
      <b/>
      <sz val="9"/>
      <color indexed="81"/>
      <name val="Tahoma"/>
      <family val="2"/>
    </font>
    <font>
      <b/>
      <i/>
      <sz val="11"/>
      <name val="Calibri"/>
      <family val="2"/>
      <scheme val="minor"/>
    </font>
    <font>
      <b/>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s>
  <borders count="2">
    <border>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60">
    <xf numFmtId="0" fontId="0" fillId="0" borderId="0" xfId="0"/>
    <xf numFmtId="164" fontId="0" fillId="0" borderId="0" xfId="2" applyNumberFormat="1" applyFont="1"/>
    <xf numFmtId="10" fontId="0" fillId="0" borderId="0" xfId="2" applyNumberFormat="1" applyFont="1"/>
    <xf numFmtId="43" fontId="0" fillId="0" borderId="0" xfId="1" applyFont="1"/>
    <xf numFmtId="165" fontId="0" fillId="0" borderId="0" xfId="1" applyNumberFormat="1" applyFont="1"/>
    <xf numFmtId="166" fontId="0" fillId="0" borderId="0" xfId="2" applyNumberFormat="1" applyFont="1"/>
    <xf numFmtId="0" fontId="0" fillId="0" borderId="0" xfId="0" applyAlignment="1">
      <alignment horizontal="center"/>
    </xf>
    <xf numFmtId="0" fontId="0" fillId="0" borderId="0" xfId="0" applyAlignment="1">
      <alignment horizontal="left" indent="1"/>
    </xf>
    <xf numFmtId="43" fontId="0" fillId="0" borderId="0" xfId="1" applyFont="1" applyFill="1"/>
    <xf numFmtId="43" fontId="0" fillId="0" borderId="1" xfId="1" applyFont="1" applyFill="1" applyBorder="1"/>
    <xf numFmtId="164" fontId="4" fillId="0" borderId="0" xfId="2" applyNumberFormat="1" applyFont="1" applyFill="1"/>
    <xf numFmtId="164" fontId="4" fillId="0" borderId="0" xfId="3" applyNumberFormat="1" applyFont="1" applyFill="1"/>
    <xf numFmtId="10" fontId="6" fillId="2" borderId="0" xfId="2" applyNumberFormat="1" applyFont="1" applyFill="1"/>
    <xf numFmtId="165" fontId="2" fillId="0" borderId="0" xfId="1" applyNumberFormat="1" applyFont="1" applyAlignment="1">
      <alignment horizontal="center" wrapText="1"/>
    </xf>
    <xf numFmtId="10" fontId="2" fillId="0" borderId="1" xfId="2" applyNumberFormat="1" applyFont="1" applyBorder="1" applyAlignment="1">
      <alignment horizontal="center"/>
    </xf>
    <xf numFmtId="165" fontId="2" fillId="0" borderId="1" xfId="1" applyNumberFormat="1" applyFont="1" applyBorder="1" applyAlignment="1">
      <alignment horizontal="center" wrapText="1"/>
    </xf>
    <xf numFmtId="165" fontId="2" fillId="0" borderId="1" xfId="1" applyNumberFormat="1" applyFont="1" applyBorder="1" applyAlignment="1">
      <alignment horizontal="center"/>
    </xf>
    <xf numFmtId="164" fontId="4" fillId="0" borderId="0" xfId="3" applyNumberFormat="1" applyFont="1" applyFill="1" applyBorder="1"/>
    <xf numFmtId="164" fontId="4" fillId="0" borderId="0" xfId="2" applyNumberFormat="1" applyFont="1" applyFill="1" applyAlignment="1">
      <alignment horizontal="center"/>
    </xf>
    <xf numFmtId="164" fontId="4" fillId="0" borderId="0" xfId="3" applyNumberFormat="1" applyFont="1" applyFill="1" applyAlignment="1">
      <alignment horizontal="center"/>
    </xf>
    <xf numFmtId="164" fontId="4" fillId="0" borderId="1" xfId="3" applyNumberFormat="1" applyFont="1" applyFill="1" applyBorder="1" applyAlignment="1">
      <alignment horizontal="center"/>
    </xf>
    <xf numFmtId="164" fontId="0" fillId="0" borderId="0" xfId="2" applyNumberFormat="1" applyFont="1" applyAlignment="1">
      <alignment horizontal="center"/>
    </xf>
    <xf numFmtId="164" fontId="4" fillId="0" borderId="1" xfId="2" applyNumberFormat="1" applyFont="1" applyFill="1" applyBorder="1"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0" fillId="0" borderId="0" xfId="0" applyAlignment="1">
      <alignment horizontal="left" indent="2"/>
    </xf>
    <xf numFmtId="0" fontId="3" fillId="0" borderId="0" xfId="0" applyFont="1" applyAlignment="1">
      <alignment horizontal="left" indent="1"/>
    </xf>
    <xf numFmtId="0" fontId="5" fillId="0" borderId="0" xfId="0" applyFont="1" applyAlignment="1">
      <alignment horizontal="left" indent="1"/>
    </xf>
    <xf numFmtId="0" fontId="5" fillId="0" borderId="0" xfId="0" applyFont="1" applyAlignment="1">
      <alignment horizontal="left" indent="2"/>
    </xf>
    <xf numFmtId="43" fontId="6" fillId="2" borderId="0" xfId="1" applyFont="1" applyFill="1"/>
    <xf numFmtId="167" fontId="0" fillId="0" borderId="0" xfId="1" applyNumberFormat="1" applyFont="1" applyAlignment="1">
      <alignment horizontal="center"/>
    </xf>
    <xf numFmtId="165" fontId="2" fillId="0" borderId="1" xfId="1" applyNumberFormat="1" applyFont="1" applyBorder="1" applyAlignment="1"/>
    <xf numFmtId="10" fontId="0" fillId="0" borderId="0" xfId="2" quotePrefix="1" applyNumberFormat="1" applyFont="1"/>
    <xf numFmtId="49" fontId="11" fillId="0" borderId="0" xfId="0" applyNumberFormat="1" applyFont="1"/>
    <xf numFmtId="0" fontId="4" fillId="0" borderId="0" xfId="0" applyFont="1"/>
    <xf numFmtId="0" fontId="13" fillId="0" borderId="0" xfId="4" applyAlignment="1">
      <alignment vertical="center"/>
    </xf>
    <xf numFmtId="10" fontId="2" fillId="0" borderId="0" xfId="0" applyNumberFormat="1" applyFont="1"/>
    <xf numFmtId="166" fontId="0" fillId="0" borderId="1" xfId="2" applyNumberFormat="1" applyFont="1" applyBorder="1"/>
    <xf numFmtId="0" fontId="2" fillId="0" borderId="0" xfId="0" applyFont="1"/>
    <xf numFmtId="168" fontId="0" fillId="0" borderId="0" xfId="0" applyNumberFormat="1"/>
    <xf numFmtId="168" fontId="2" fillId="0" borderId="0" xfId="0" applyNumberFormat="1" applyFont="1"/>
    <xf numFmtId="9" fontId="0" fillId="0" borderId="0" xfId="2" applyFont="1"/>
    <xf numFmtId="167" fontId="0" fillId="0" borderId="0" xfId="0" applyNumberFormat="1"/>
    <xf numFmtId="167" fontId="0" fillId="0" borderId="1" xfId="0" applyNumberFormat="1" applyBorder="1"/>
    <xf numFmtId="167" fontId="2" fillId="0" borderId="0" xfId="0" applyNumberFormat="1" applyFont="1"/>
    <xf numFmtId="10" fontId="2" fillId="0" borderId="0" xfId="2" applyNumberFormat="1" applyFont="1" applyBorder="1" applyAlignment="1">
      <alignment horizontal="center"/>
    </xf>
    <xf numFmtId="0" fontId="3" fillId="0" borderId="0" xfId="0" applyFont="1"/>
    <xf numFmtId="10" fontId="0" fillId="0" borderId="1" xfId="0" applyNumberFormat="1" applyBorder="1"/>
    <xf numFmtId="9" fontId="2" fillId="0" borderId="0" xfId="2" applyFont="1"/>
    <xf numFmtId="168" fontId="2" fillId="0" borderId="1" xfId="0" applyNumberFormat="1" applyFont="1" applyBorder="1" applyAlignment="1">
      <alignment horizontal="center"/>
    </xf>
    <xf numFmtId="0" fontId="0" fillId="0" borderId="0" xfId="0" applyAlignment="1">
      <alignment horizontal="left"/>
    </xf>
    <xf numFmtId="165" fontId="5" fillId="0" borderId="0" xfId="1" applyNumberFormat="1" applyFont="1"/>
    <xf numFmtId="10" fontId="0" fillId="0" borderId="0" xfId="2" applyNumberFormat="1" applyFont="1" applyFill="1"/>
    <xf numFmtId="0" fontId="4" fillId="0" borderId="0" xfId="0" applyFont="1" applyAlignment="1">
      <alignment horizontal="left" vertical="top" wrapText="1"/>
    </xf>
    <xf numFmtId="0" fontId="12" fillId="0" borderId="0" xfId="0" applyFont="1" applyAlignment="1">
      <alignment horizontal="left" vertical="top" wrapText="1"/>
    </xf>
    <xf numFmtId="0" fontId="6" fillId="0" borderId="0" xfId="0" applyFont="1" applyAlignment="1">
      <alignment horizontal="left" vertical="top" wrapText="1"/>
    </xf>
    <xf numFmtId="0" fontId="8" fillId="3" borderId="0" xfId="0" applyFont="1" applyFill="1" applyAlignment="1">
      <alignment horizontal="center"/>
    </xf>
    <xf numFmtId="0" fontId="7" fillId="3" borderId="0" xfId="0" applyFont="1" applyFill="1" applyAlignment="1">
      <alignment horizontal="center"/>
    </xf>
    <xf numFmtId="0" fontId="2" fillId="3" borderId="0" xfId="0" applyFont="1" applyFill="1" applyAlignment="1">
      <alignment horizontal="center"/>
    </xf>
    <xf numFmtId="0" fontId="0" fillId="0" borderId="0" xfId="0" applyAlignment="1">
      <alignment horizontal="left" vertical="top" wrapText="1"/>
    </xf>
  </cellXfs>
  <cellStyles count="5">
    <cellStyle name="Comma" xfId="1" builtinId="3"/>
    <cellStyle name="Hyperlink" xfId="4" builtinId="8"/>
    <cellStyle name="Normal" xfId="0" builtinId="0"/>
    <cellStyle name="Percent" xfId="2" builtinId="5"/>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56</xdr:row>
      <xdr:rowOff>0</xdr:rowOff>
    </xdr:from>
    <xdr:to>
      <xdr:col>4</xdr:col>
      <xdr:colOff>164354</xdr:colOff>
      <xdr:row>63</xdr:row>
      <xdr:rowOff>98880</xdr:rowOff>
    </xdr:to>
    <xdr:pic>
      <xdr:nvPicPr>
        <xdr:cNvPr id="2" name="Picture 1">
          <a:extLst>
            <a:ext uri="{FF2B5EF4-FFF2-40B4-BE49-F238E27FC236}">
              <a16:creationId xmlns:a16="http://schemas.microsoft.com/office/drawing/2014/main" id="{9A05F149-280E-4AC1-BF68-73106A5CF1C0}"/>
            </a:ext>
          </a:extLst>
        </xdr:cNvPr>
        <xdr:cNvPicPr>
          <a:picLocks noChangeAspect="1"/>
        </xdr:cNvPicPr>
      </xdr:nvPicPr>
      <xdr:blipFill>
        <a:blip xmlns:r="http://schemas.openxmlformats.org/officeDocument/2006/relationships" r:embed="rId1"/>
        <a:stretch>
          <a:fillRect/>
        </a:stretch>
      </xdr:blipFill>
      <xdr:spPr>
        <a:xfrm>
          <a:off x="0" y="13373100"/>
          <a:ext cx="6127004" cy="13695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56</xdr:row>
      <xdr:rowOff>0</xdr:rowOff>
    </xdr:from>
    <xdr:to>
      <xdr:col>4</xdr:col>
      <xdr:colOff>231029</xdr:colOff>
      <xdr:row>63</xdr:row>
      <xdr:rowOff>104595</xdr:rowOff>
    </xdr:to>
    <xdr:pic>
      <xdr:nvPicPr>
        <xdr:cNvPr id="2" name="Picture 1">
          <a:extLst>
            <a:ext uri="{FF2B5EF4-FFF2-40B4-BE49-F238E27FC236}">
              <a16:creationId xmlns:a16="http://schemas.microsoft.com/office/drawing/2014/main" id="{C2CA7D3F-7939-4413-8255-570A16D2BE65}"/>
            </a:ext>
          </a:extLst>
        </xdr:cNvPr>
        <xdr:cNvPicPr>
          <a:picLocks noChangeAspect="1"/>
        </xdr:cNvPicPr>
      </xdr:nvPicPr>
      <xdr:blipFill>
        <a:blip xmlns:r="http://schemas.openxmlformats.org/officeDocument/2006/relationships" r:embed="rId1"/>
        <a:stretch>
          <a:fillRect/>
        </a:stretch>
      </xdr:blipFill>
      <xdr:spPr>
        <a:xfrm>
          <a:off x="0" y="11496675"/>
          <a:ext cx="5965079" cy="1438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4</xdr:col>
      <xdr:colOff>231029</xdr:colOff>
      <xdr:row>58</xdr:row>
      <xdr:rowOff>104595</xdr:rowOff>
    </xdr:to>
    <xdr:pic>
      <xdr:nvPicPr>
        <xdr:cNvPr id="2" name="Picture 1">
          <a:extLst>
            <a:ext uri="{FF2B5EF4-FFF2-40B4-BE49-F238E27FC236}">
              <a16:creationId xmlns:a16="http://schemas.microsoft.com/office/drawing/2014/main" id="{FC9B64B4-8261-47DA-9BD8-5951A25CED39}"/>
            </a:ext>
          </a:extLst>
        </xdr:cNvPr>
        <xdr:cNvPicPr>
          <a:picLocks noChangeAspect="1"/>
        </xdr:cNvPicPr>
      </xdr:nvPicPr>
      <xdr:blipFill>
        <a:blip xmlns:r="http://schemas.openxmlformats.org/officeDocument/2006/relationships" r:embed="rId1"/>
        <a:stretch>
          <a:fillRect/>
        </a:stretch>
      </xdr:blipFill>
      <xdr:spPr>
        <a:xfrm>
          <a:off x="0" y="10106025"/>
          <a:ext cx="5971429" cy="14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rs.texas.gov/TRS%20Documents/employment_after_retirement.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rs.texas.gov/TRS%20Documents/employment_after_retirement.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trs.texas.gov/TRS%20Documents/employment_after_retirement.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137E2-73FD-4003-9304-C7712C267322}">
  <dimension ref="A1:M65"/>
  <sheetViews>
    <sheetView tabSelected="1" zoomScaleNormal="100" workbookViewId="0">
      <selection sqref="A1:I1"/>
    </sheetView>
  </sheetViews>
  <sheetFormatPr defaultRowHeight="15" x14ac:dyDescent="0.25"/>
  <cols>
    <col min="1" max="1" width="20.7109375" customWidth="1"/>
    <col min="2" max="2" width="8.28515625" bestFit="1" customWidth="1"/>
    <col min="3" max="3" width="41.7109375" bestFit="1" customWidth="1"/>
    <col min="4" max="4" width="16.28515625" bestFit="1" customWidth="1"/>
    <col min="5" max="5" width="15.42578125" style="2" bestFit="1" customWidth="1"/>
    <col min="6" max="6" width="12.85546875" style="4" customWidth="1"/>
    <col min="7" max="7" width="2.5703125" style="4" customWidth="1"/>
    <col min="8" max="8" width="11.28515625" bestFit="1" customWidth="1"/>
    <col min="9" max="9" width="13" bestFit="1" customWidth="1"/>
    <col min="10" max="10" width="5" customWidth="1"/>
    <col min="11" max="11" width="38.5703125" customWidth="1"/>
    <col min="12" max="12" width="10.140625" bestFit="1" customWidth="1"/>
  </cols>
  <sheetData>
    <row r="1" spans="1:13" ht="21" x14ac:dyDescent="0.35">
      <c r="A1" s="56" t="s">
        <v>39</v>
      </c>
      <c r="B1" s="56"/>
      <c r="C1" s="56"/>
      <c r="D1" s="56"/>
      <c r="E1" s="56"/>
      <c r="F1" s="56"/>
      <c r="G1" s="56"/>
      <c r="H1" s="56"/>
      <c r="I1" s="56"/>
    </row>
    <row r="2" spans="1:13" ht="18.75" x14ac:dyDescent="0.3">
      <c r="A2" s="57" t="s">
        <v>101</v>
      </c>
      <c r="B2" s="57"/>
      <c r="C2" s="57"/>
      <c r="D2" s="57"/>
      <c r="E2" s="57"/>
      <c r="F2" s="57"/>
      <c r="G2" s="57"/>
      <c r="H2" s="57"/>
      <c r="I2" s="57"/>
    </row>
    <row r="3" spans="1:13" x14ac:dyDescent="0.25">
      <c r="A3" s="58" t="s">
        <v>110</v>
      </c>
      <c r="B3" s="58"/>
      <c r="C3" s="58"/>
      <c r="D3" s="58"/>
      <c r="E3" s="58"/>
      <c r="F3" s="58"/>
      <c r="G3" s="58"/>
      <c r="H3" s="58"/>
      <c r="I3" s="58"/>
    </row>
    <row r="5" spans="1:13" s="6" customFormat="1" x14ac:dyDescent="0.25">
      <c r="A5" s="23" t="s">
        <v>19</v>
      </c>
      <c r="B5" s="23" t="s">
        <v>0</v>
      </c>
      <c r="C5" s="23" t="s">
        <v>1</v>
      </c>
      <c r="D5" s="23" t="s">
        <v>59</v>
      </c>
      <c r="E5" s="14" t="s">
        <v>8</v>
      </c>
      <c r="F5" s="31" t="s">
        <v>63</v>
      </c>
      <c r="G5" s="16"/>
      <c r="H5" s="24"/>
      <c r="I5" s="24"/>
      <c r="K5" t="s">
        <v>81</v>
      </c>
      <c r="L5"/>
      <c r="M5" s="40"/>
    </row>
    <row r="6" spans="1:13" x14ac:dyDescent="0.25">
      <c r="A6" t="s">
        <v>2</v>
      </c>
      <c r="B6" s="6">
        <v>55002</v>
      </c>
      <c r="C6" t="s">
        <v>3</v>
      </c>
      <c r="D6" t="s">
        <v>61</v>
      </c>
      <c r="E6" s="2">
        <v>6.2E-2</v>
      </c>
      <c r="F6" s="4" t="s">
        <v>105</v>
      </c>
      <c r="K6" s="46" t="s">
        <v>69</v>
      </c>
      <c r="M6" s="40"/>
    </row>
    <row r="7" spans="1:13" x14ac:dyDescent="0.25">
      <c r="A7" t="s">
        <v>5</v>
      </c>
      <c r="B7" s="6">
        <v>55008</v>
      </c>
      <c r="C7" t="s">
        <v>4</v>
      </c>
      <c r="D7" t="s">
        <v>61</v>
      </c>
      <c r="E7" s="2">
        <v>1.4500000000000001E-2</v>
      </c>
      <c r="K7" t="s">
        <v>70</v>
      </c>
      <c r="M7" s="40"/>
    </row>
    <row r="8" spans="1:13" x14ac:dyDescent="0.25">
      <c r="A8" t="s">
        <v>7</v>
      </c>
      <c r="B8" s="6">
        <v>55017</v>
      </c>
      <c r="C8" t="s">
        <v>56</v>
      </c>
      <c r="D8" t="s">
        <v>60</v>
      </c>
      <c r="E8" s="2">
        <v>8.2500000000000004E-2</v>
      </c>
    </row>
    <row r="9" spans="1:13" x14ac:dyDescent="0.25">
      <c r="A9" t="s">
        <v>54</v>
      </c>
      <c r="B9" s="6">
        <v>55017</v>
      </c>
      <c r="C9" t="s">
        <v>57</v>
      </c>
      <c r="D9" t="s">
        <v>60</v>
      </c>
      <c r="E9" s="52">
        <v>8.2500000000000004E-2</v>
      </c>
      <c r="K9" t="s">
        <v>71</v>
      </c>
      <c r="L9" s="42">
        <v>1500000</v>
      </c>
    </row>
    <row r="10" spans="1:13" x14ac:dyDescent="0.25">
      <c r="A10" t="s">
        <v>9</v>
      </c>
      <c r="B10" s="6">
        <v>55006</v>
      </c>
      <c r="C10" t="s">
        <v>18</v>
      </c>
      <c r="D10" t="s">
        <v>60</v>
      </c>
      <c r="E10" s="2">
        <v>6.6000000000000003E-2</v>
      </c>
      <c r="K10" t="s">
        <v>72</v>
      </c>
      <c r="L10" s="47">
        <f>+E19</f>
        <v>0.19070000000000001</v>
      </c>
    </row>
    <row r="11" spans="1:13" x14ac:dyDescent="0.25">
      <c r="A11" t="s">
        <v>10</v>
      </c>
      <c r="B11" s="6">
        <v>55023</v>
      </c>
      <c r="C11" t="s">
        <v>17</v>
      </c>
      <c r="D11" t="s">
        <v>60</v>
      </c>
      <c r="E11" s="2">
        <v>1.9E-2</v>
      </c>
      <c r="K11" s="38" t="s">
        <v>73</v>
      </c>
      <c r="L11" s="44">
        <f>+L9*L10</f>
        <v>286050</v>
      </c>
    </row>
    <row r="12" spans="1:13" x14ac:dyDescent="0.25">
      <c r="A12" t="s">
        <v>11</v>
      </c>
      <c r="B12" s="6">
        <v>55001</v>
      </c>
      <c r="C12" t="s">
        <v>55</v>
      </c>
      <c r="D12" t="s">
        <v>106</v>
      </c>
      <c r="E12" s="2">
        <v>3.5000000000000001E-3</v>
      </c>
      <c r="F12" s="4" t="s">
        <v>107</v>
      </c>
      <c r="K12" t="s">
        <v>90</v>
      </c>
      <c r="L12" s="43">
        <f>E37*20</f>
        <v>221771.99999999997</v>
      </c>
    </row>
    <row r="13" spans="1:13" x14ac:dyDescent="0.25">
      <c r="A13" t="s">
        <v>44</v>
      </c>
      <c r="B13" s="6">
        <v>55020</v>
      </c>
      <c r="C13" t="s">
        <v>45</v>
      </c>
      <c r="D13" t="s">
        <v>106</v>
      </c>
      <c r="E13" s="2">
        <v>2.3E-2</v>
      </c>
      <c r="F13" s="4" t="s">
        <v>108</v>
      </c>
      <c r="K13" s="38" t="s">
        <v>74</v>
      </c>
      <c r="L13" s="44">
        <f>+L11+L12</f>
        <v>507822</v>
      </c>
    </row>
    <row r="14" spans="1:13" x14ac:dyDescent="0.25">
      <c r="A14" t="s">
        <v>12</v>
      </c>
      <c r="B14" s="6">
        <v>55003</v>
      </c>
      <c r="C14" t="s">
        <v>15</v>
      </c>
      <c r="D14" t="s">
        <v>60</v>
      </c>
      <c r="E14" s="5">
        <v>1.1199999999999999E-3</v>
      </c>
      <c r="K14" t="s">
        <v>75</v>
      </c>
      <c r="L14" s="41">
        <f>+L13/L9</f>
        <v>0.33854800000000002</v>
      </c>
    </row>
    <row r="15" spans="1:13" x14ac:dyDescent="0.25">
      <c r="A15" t="s">
        <v>13</v>
      </c>
      <c r="B15" s="6">
        <v>55004</v>
      </c>
      <c r="C15" t="s">
        <v>16</v>
      </c>
      <c r="D15" t="s">
        <v>84</v>
      </c>
      <c r="E15" s="5">
        <v>4.5799999999999999E-3</v>
      </c>
      <c r="F15" s="30">
        <v>9000</v>
      </c>
      <c r="K15" s="38"/>
      <c r="M15" s="40"/>
    </row>
    <row r="16" spans="1:13" x14ac:dyDescent="0.25">
      <c r="M16" s="41"/>
    </row>
    <row r="18" spans="1:13" x14ac:dyDescent="0.25">
      <c r="C18" s="26" t="s">
        <v>20</v>
      </c>
      <c r="D18" s="26"/>
      <c r="K18" s="50" t="s">
        <v>76</v>
      </c>
      <c r="L18" s="6"/>
      <c r="M18" s="6"/>
    </row>
    <row r="19" spans="1:13" x14ac:dyDescent="0.25">
      <c r="C19" s="27" t="s">
        <v>25</v>
      </c>
      <c r="D19" s="27"/>
      <c r="E19" s="12">
        <f>+AVERAGE(E20:E23)</f>
        <v>0.19070000000000001</v>
      </c>
      <c r="K19" s="46" t="s">
        <v>69</v>
      </c>
      <c r="M19" s="45"/>
    </row>
    <row r="20" spans="1:13" x14ac:dyDescent="0.25">
      <c r="C20" s="7" t="s">
        <v>21</v>
      </c>
      <c r="D20" s="7"/>
      <c r="E20" s="32">
        <f>SUM(E6:E8,E12:E15)</f>
        <v>0.19120000000000001</v>
      </c>
      <c r="K20" t="s">
        <v>77</v>
      </c>
      <c r="M20" s="39"/>
    </row>
    <row r="21" spans="1:13" x14ac:dyDescent="0.25">
      <c r="C21" s="7" t="s">
        <v>22</v>
      </c>
      <c r="D21" s="7"/>
      <c r="E21" s="2">
        <f>SUM(E6:E7,E10:E15)</f>
        <v>0.19370000000000001</v>
      </c>
      <c r="K21" s="23" t="s">
        <v>19</v>
      </c>
      <c r="L21" s="14" t="s">
        <v>8</v>
      </c>
      <c r="M21" s="49" t="s">
        <v>80</v>
      </c>
    </row>
    <row r="22" spans="1:13" x14ac:dyDescent="0.25">
      <c r="C22" s="7" t="s">
        <v>23</v>
      </c>
      <c r="D22" s="7"/>
      <c r="E22" s="32">
        <f>SUM(E6:E8,E13:E15)</f>
        <v>0.18770000000000001</v>
      </c>
      <c r="K22" t="s">
        <v>2</v>
      </c>
      <c r="L22" s="2">
        <f>+E6</f>
        <v>6.2E-2</v>
      </c>
      <c r="M22" s="42">
        <f t="shared" ref="M22:M28" si="0">60000*L22</f>
        <v>3720</v>
      </c>
    </row>
    <row r="23" spans="1:13" x14ac:dyDescent="0.25">
      <c r="C23" s="7" t="s">
        <v>24</v>
      </c>
      <c r="D23" s="7"/>
      <c r="E23" s="32">
        <f>SUM(E6:E7,E10:E11,E13:E15)</f>
        <v>0.19020000000000001</v>
      </c>
      <c r="K23" t="s">
        <v>5</v>
      </c>
      <c r="L23" s="2">
        <f>+E7</f>
        <v>1.4500000000000001E-2</v>
      </c>
      <c r="M23" s="42">
        <f t="shared" si="0"/>
        <v>870</v>
      </c>
    </row>
    <row r="24" spans="1:13" x14ac:dyDescent="0.25">
      <c r="C24" s="7" t="s">
        <v>65</v>
      </c>
      <c r="D24" s="7"/>
      <c r="E24" s="32">
        <f>SUM(E6:E9,E12:E15)</f>
        <v>0.2737</v>
      </c>
      <c r="K24" t="s">
        <v>7</v>
      </c>
      <c r="L24" s="2">
        <f>+E8</f>
        <v>8.2500000000000004E-2</v>
      </c>
      <c r="M24" s="42">
        <f t="shared" si="0"/>
        <v>4950</v>
      </c>
    </row>
    <row r="25" spans="1:13" x14ac:dyDescent="0.25">
      <c r="C25" s="7" t="s">
        <v>66</v>
      </c>
      <c r="D25" s="7"/>
      <c r="E25" s="32">
        <f>SUM(E6:E9,E13:E15)</f>
        <v>0.2702</v>
      </c>
      <c r="K25" t="s">
        <v>11</v>
      </c>
      <c r="L25" s="2">
        <f>+E12</f>
        <v>3.5000000000000001E-3</v>
      </c>
      <c r="M25" s="42">
        <f t="shared" si="0"/>
        <v>210</v>
      </c>
    </row>
    <row r="26" spans="1:13" x14ac:dyDescent="0.25">
      <c r="C26" s="7" t="s">
        <v>58</v>
      </c>
      <c r="D26" s="7"/>
      <c r="E26" s="32">
        <f>SUM(E14:E15)</f>
        <v>5.7000000000000002E-3</v>
      </c>
      <c r="K26" t="s">
        <v>44</v>
      </c>
      <c r="L26" s="2">
        <f>+E13</f>
        <v>2.3E-2</v>
      </c>
      <c r="M26" s="42">
        <f t="shared" si="0"/>
        <v>1380</v>
      </c>
    </row>
    <row r="27" spans="1:13" x14ac:dyDescent="0.25">
      <c r="C27" s="7" t="s">
        <v>49</v>
      </c>
      <c r="D27" s="7"/>
      <c r="E27" s="2">
        <f>SUM(E6:E7,E13:E15)</f>
        <v>0.1052</v>
      </c>
      <c r="K27" t="s">
        <v>12</v>
      </c>
      <c r="L27" s="5">
        <f>+E14</f>
        <v>1.1199999999999999E-3</v>
      </c>
      <c r="M27" s="42">
        <f t="shared" si="0"/>
        <v>67.199999999999989</v>
      </c>
    </row>
    <row r="28" spans="1:13" x14ac:dyDescent="0.25">
      <c r="C28" s="7" t="s">
        <v>48</v>
      </c>
      <c r="D28" s="7"/>
      <c r="E28" s="2">
        <f>SUM(E14:E15)</f>
        <v>5.7000000000000002E-3</v>
      </c>
      <c r="K28" t="s">
        <v>13</v>
      </c>
      <c r="L28" s="37">
        <f>+E15</f>
        <v>4.5799999999999999E-3</v>
      </c>
      <c r="M28" s="43">
        <f t="shared" si="0"/>
        <v>274.8</v>
      </c>
    </row>
    <row r="29" spans="1:13" x14ac:dyDescent="0.25">
      <c r="K29" t="s">
        <v>82</v>
      </c>
      <c r="L29" s="36">
        <f>SUM(L22:L28)</f>
        <v>0.19120000000000001</v>
      </c>
      <c r="M29" s="44">
        <f>SUM(M22:M28)</f>
        <v>11472</v>
      </c>
    </row>
    <row r="30" spans="1:13" x14ac:dyDescent="0.25">
      <c r="K30" t="s">
        <v>88</v>
      </c>
      <c r="M30" s="43">
        <f>E35*12</f>
        <v>16223.28</v>
      </c>
    </row>
    <row r="31" spans="1:13" x14ac:dyDescent="0.25">
      <c r="A31" t="s">
        <v>38</v>
      </c>
      <c r="B31" s="6">
        <v>55005</v>
      </c>
      <c r="C31" t="s">
        <v>26</v>
      </c>
      <c r="D31" t="s">
        <v>60</v>
      </c>
      <c r="E31" s="14" t="s">
        <v>31</v>
      </c>
      <c r="F31" s="15" t="s">
        <v>33</v>
      </c>
      <c r="G31" s="13"/>
      <c r="H31" s="16" t="s">
        <v>32</v>
      </c>
      <c r="I31" s="15" t="s">
        <v>33</v>
      </c>
      <c r="K31" t="s">
        <v>78</v>
      </c>
      <c r="M31" s="44">
        <f>+M29+M30</f>
        <v>27695.279999999999</v>
      </c>
    </row>
    <row r="32" spans="1:13" x14ac:dyDescent="0.25">
      <c r="C32" s="25" t="s">
        <v>27</v>
      </c>
      <c r="D32" s="25"/>
      <c r="E32" s="8">
        <v>725.8</v>
      </c>
      <c r="F32" s="18">
        <f>1697/3043</f>
        <v>0.55767334866907659</v>
      </c>
      <c r="G32" s="10"/>
      <c r="H32" s="8">
        <f>+ROUND(E32/2,2)</f>
        <v>362.9</v>
      </c>
      <c r="I32" s="18">
        <f>66/81</f>
        <v>0.81481481481481477</v>
      </c>
      <c r="K32" t="s">
        <v>79</v>
      </c>
      <c r="M32" s="48">
        <f>+M31/60000</f>
        <v>0.461588</v>
      </c>
    </row>
    <row r="33" spans="1:9" x14ac:dyDescent="0.25">
      <c r="C33" s="25" t="s">
        <v>28</v>
      </c>
      <c r="D33" s="25"/>
      <c r="E33" s="8">
        <v>1106.24</v>
      </c>
      <c r="F33" s="19">
        <f>400/3043</f>
        <v>0.13144922773578704</v>
      </c>
      <c r="G33" s="11"/>
      <c r="H33" s="8">
        <f>+ROUND(E33/2,2)</f>
        <v>553.12</v>
      </c>
      <c r="I33" s="18">
        <f>7/81</f>
        <v>8.6419753086419748E-2</v>
      </c>
    </row>
    <row r="34" spans="1:9" x14ac:dyDescent="0.25">
      <c r="C34" s="25" t="s">
        <v>29</v>
      </c>
      <c r="D34" s="25"/>
      <c r="E34" s="8">
        <v>969.22</v>
      </c>
      <c r="F34" s="19">
        <f>369/3043</f>
        <v>0.12126191258626355</v>
      </c>
      <c r="G34" s="11"/>
      <c r="H34" s="8">
        <f>+ROUND(E34/2,2)+0.01</f>
        <v>484.62</v>
      </c>
      <c r="I34" s="18">
        <f>2/81</f>
        <v>2.4691358024691357E-2</v>
      </c>
    </row>
    <row r="35" spans="1:9" x14ac:dyDescent="0.25">
      <c r="C35" s="25" t="s">
        <v>30</v>
      </c>
      <c r="D35" s="25"/>
      <c r="E35" s="9">
        <v>1351.94</v>
      </c>
      <c r="F35" s="20">
        <f>577/3043</f>
        <v>0.18961551100887283</v>
      </c>
      <c r="G35" s="17"/>
      <c r="H35" s="9">
        <f>+ROUND(E35/2,2)+0.01</f>
        <v>675.98</v>
      </c>
      <c r="I35" s="22">
        <f>6/81</f>
        <v>7.407407407407407E-2</v>
      </c>
    </row>
    <row r="36" spans="1:9" x14ac:dyDescent="0.25">
      <c r="C36" s="7" t="s">
        <v>37</v>
      </c>
      <c r="D36" s="7"/>
      <c r="E36" s="3">
        <f>+ROUND(E32*F32+E33*F33+E34*F34+E35*F35,2)</f>
        <v>924.05</v>
      </c>
      <c r="F36" s="21">
        <f>SUM(F32:F35)</f>
        <v>1</v>
      </c>
      <c r="G36" s="1"/>
      <c r="H36" s="3">
        <f>+ROUND(H32*I32+H33*I33+H34*I34+H35*I35,2)</f>
        <v>405.54</v>
      </c>
      <c r="I36" s="21">
        <f>SUM(I32:I35)</f>
        <v>1</v>
      </c>
    </row>
    <row r="37" spans="1:9" x14ac:dyDescent="0.25">
      <c r="C37" s="28" t="s">
        <v>36</v>
      </c>
      <c r="D37" s="28"/>
      <c r="E37" s="29">
        <f>+E36*12</f>
        <v>11088.599999999999</v>
      </c>
      <c r="H37" s="3">
        <f>+H36*12</f>
        <v>4866.4800000000005</v>
      </c>
    </row>
    <row r="38" spans="1:9" x14ac:dyDescent="0.25">
      <c r="C38" s="7"/>
      <c r="D38" s="7"/>
      <c r="E38" s="3"/>
    </row>
    <row r="39" spans="1:9" x14ac:dyDescent="0.25">
      <c r="A39" t="s">
        <v>93</v>
      </c>
      <c r="B39" s="6">
        <v>55005</v>
      </c>
      <c r="C39" t="s">
        <v>94</v>
      </c>
      <c r="D39" t="s">
        <v>60</v>
      </c>
      <c r="E39" s="8">
        <f>+ROUND(E32/2,2)</f>
        <v>362.9</v>
      </c>
      <c r="H39" s="8">
        <f>+ROUND(H32/2,2)</f>
        <v>181.45</v>
      </c>
    </row>
    <row r="40" spans="1:9" x14ac:dyDescent="0.25">
      <c r="A40" t="s">
        <v>99</v>
      </c>
      <c r="B40" s="6">
        <v>55025</v>
      </c>
      <c r="C40" t="s">
        <v>98</v>
      </c>
      <c r="D40" t="s">
        <v>97</v>
      </c>
      <c r="E40" s="8"/>
      <c r="H40" s="8">
        <v>286.5</v>
      </c>
      <c r="I40" s="51" t="s">
        <v>109</v>
      </c>
    </row>
    <row r="42" spans="1:9" ht="65.25" customHeight="1" x14ac:dyDescent="0.25">
      <c r="A42" s="59" t="s">
        <v>103</v>
      </c>
      <c r="B42" s="59"/>
      <c r="C42" s="59"/>
      <c r="D42" s="59"/>
      <c r="E42" s="59"/>
      <c r="F42" s="59"/>
      <c r="G42" s="59"/>
      <c r="H42" s="59"/>
      <c r="I42" s="59"/>
    </row>
    <row r="43" spans="1:9" ht="62.25" customHeight="1" x14ac:dyDescent="0.25">
      <c r="A43" s="59" t="s">
        <v>102</v>
      </c>
      <c r="B43" s="59"/>
      <c r="C43" s="59"/>
      <c r="D43" s="59"/>
      <c r="E43" s="59"/>
      <c r="F43" s="59"/>
      <c r="G43" s="59"/>
      <c r="H43" s="59"/>
      <c r="I43" s="59"/>
    </row>
    <row r="45" spans="1:9" x14ac:dyDescent="0.25">
      <c r="A45" s="33" t="s">
        <v>50</v>
      </c>
    </row>
    <row r="46" spans="1:9" ht="63" customHeight="1" x14ac:dyDescent="0.25">
      <c r="A46" s="53" t="s">
        <v>91</v>
      </c>
      <c r="B46" s="53"/>
      <c r="C46" s="53"/>
      <c r="D46" s="53"/>
      <c r="E46" s="53"/>
      <c r="F46" s="53"/>
      <c r="G46" s="53"/>
      <c r="H46" s="53"/>
      <c r="I46" s="53"/>
    </row>
    <row r="48" spans="1:9" ht="47.25" customHeight="1" x14ac:dyDescent="0.25">
      <c r="A48" s="53" t="s">
        <v>53</v>
      </c>
      <c r="B48" s="53"/>
      <c r="C48" s="53"/>
      <c r="D48" s="53"/>
      <c r="E48" s="53"/>
      <c r="F48" s="53"/>
      <c r="G48" s="53"/>
      <c r="H48" s="53"/>
      <c r="I48" s="53"/>
    </row>
    <row r="49" spans="1:9" x14ac:dyDescent="0.25">
      <c r="A49" s="34"/>
    </row>
    <row r="50" spans="1:9" ht="63.75" customHeight="1" x14ac:dyDescent="0.25">
      <c r="A50" s="53" t="s">
        <v>86</v>
      </c>
      <c r="B50" s="53"/>
      <c r="C50" s="53"/>
      <c r="D50" s="53"/>
      <c r="E50" s="53"/>
      <c r="F50" s="53"/>
      <c r="G50" s="53"/>
      <c r="H50" s="53"/>
      <c r="I50" s="53"/>
    </row>
    <row r="51" spans="1:9" x14ac:dyDescent="0.25">
      <c r="A51" s="34"/>
    </row>
    <row r="52" spans="1:9" x14ac:dyDescent="0.25">
      <c r="A52" s="54" t="s">
        <v>51</v>
      </c>
      <c r="B52" s="54"/>
      <c r="C52" s="54"/>
      <c r="D52" s="54"/>
      <c r="E52" s="54"/>
      <c r="F52" s="54"/>
      <c r="G52" s="54"/>
      <c r="H52" s="54"/>
      <c r="I52" s="54"/>
    </row>
    <row r="53" spans="1:9" x14ac:dyDescent="0.25">
      <c r="A53" s="53" t="s">
        <v>52</v>
      </c>
      <c r="B53" s="53"/>
      <c r="C53" s="53"/>
      <c r="D53" s="53"/>
      <c r="E53" s="53"/>
      <c r="F53" s="53"/>
      <c r="G53" s="53"/>
      <c r="H53" s="53"/>
      <c r="I53" s="53"/>
    </row>
    <row r="55" spans="1:9" ht="30.75" customHeight="1" x14ac:dyDescent="0.25">
      <c r="A55" s="55" t="s">
        <v>68</v>
      </c>
      <c r="B55" s="55"/>
      <c r="C55" s="55"/>
      <c r="D55" s="55"/>
      <c r="E55" s="55"/>
      <c r="F55" s="55"/>
      <c r="G55" s="55"/>
      <c r="H55" s="55"/>
      <c r="I55" s="55"/>
    </row>
    <row r="56" spans="1:9" x14ac:dyDescent="0.25">
      <c r="A56" s="35" t="s">
        <v>67</v>
      </c>
    </row>
    <row r="65" spans="1:1" x14ac:dyDescent="0.25">
      <c r="A65" t="s">
        <v>104</v>
      </c>
    </row>
  </sheetData>
  <mergeCells count="11">
    <mergeCell ref="A46:I46"/>
    <mergeCell ref="A1:I1"/>
    <mergeCell ref="A2:I2"/>
    <mergeCell ref="A3:I3"/>
    <mergeCell ref="A42:I42"/>
    <mergeCell ref="A43:I43"/>
    <mergeCell ref="A48:I48"/>
    <mergeCell ref="A50:I50"/>
    <mergeCell ref="A52:I52"/>
    <mergeCell ref="A53:I53"/>
    <mergeCell ref="A55:I55"/>
  </mergeCells>
  <hyperlinks>
    <hyperlink ref="A56" r:id="rId1" display="https://www.trs.texas.gov/TRS Documents/employment_after_retirement.pdf" xr:uid="{52273C28-44D3-4941-A616-04A56D08878D}"/>
  </hyperlinks>
  <printOptions horizontalCentered="1"/>
  <pageMargins left="0.45" right="0.45" top="0.75" bottom="0.75" header="0.3" footer="0.3"/>
  <pageSetup scale="91"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A6E0A-BB0A-4D6A-B905-F1E1A24F8488}">
  <dimension ref="A1:M56"/>
  <sheetViews>
    <sheetView zoomScaleNormal="100" workbookViewId="0">
      <selection sqref="A1:I1"/>
    </sheetView>
  </sheetViews>
  <sheetFormatPr defaultRowHeight="15" x14ac:dyDescent="0.25"/>
  <cols>
    <col min="1" max="1" width="20.7109375" customWidth="1"/>
    <col min="2" max="2" width="8.28515625" bestFit="1" customWidth="1"/>
    <col min="3" max="3" width="41.7109375" bestFit="1" customWidth="1"/>
    <col min="4" max="4" width="15.28515625" bestFit="1" customWidth="1"/>
    <col min="5" max="5" width="15.42578125" style="2" bestFit="1" customWidth="1"/>
    <col min="6" max="6" width="12.85546875" style="4" customWidth="1"/>
    <col min="7" max="7" width="2.5703125" style="4" customWidth="1"/>
    <col min="8" max="8" width="11.28515625" bestFit="1" customWidth="1"/>
    <col min="9" max="9" width="13" bestFit="1" customWidth="1"/>
    <col min="10" max="10" width="5" customWidth="1"/>
    <col min="11" max="11" width="38.5703125" customWidth="1"/>
    <col min="12" max="12" width="10.140625" bestFit="1" customWidth="1"/>
  </cols>
  <sheetData>
    <row r="1" spans="1:13" ht="21" x14ac:dyDescent="0.35">
      <c r="A1" s="56" t="s">
        <v>39</v>
      </c>
      <c r="B1" s="56"/>
      <c r="C1" s="56"/>
      <c r="D1" s="56"/>
      <c r="E1" s="56"/>
      <c r="F1" s="56"/>
      <c r="G1" s="56"/>
      <c r="H1" s="56"/>
      <c r="I1" s="56"/>
    </row>
    <row r="2" spans="1:13" ht="18.75" x14ac:dyDescent="0.3">
      <c r="A2" s="57" t="s">
        <v>87</v>
      </c>
      <c r="B2" s="57"/>
      <c r="C2" s="57"/>
      <c r="D2" s="57"/>
      <c r="E2" s="57"/>
      <c r="F2" s="57"/>
      <c r="G2" s="57"/>
      <c r="H2" s="57"/>
      <c r="I2" s="57"/>
    </row>
    <row r="3" spans="1:13" x14ac:dyDescent="0.25">
      <c r="A3" s="58" t="s">
        <v>100</v>
      </c>
      <c r="B3" s="58"/>
      <c r="C3" s="58"/>
      <c r="D3" s="58"/>
      <c r="E3" s="58"/>
      <c r="F3" s="58"/>
      <c r="G3" s="58"/>
      <c r="H3" s="58"/>
      <c r="I3" s="58"/>
    </row>
    <row r="5" spans="1:13" s="6" customFormat="1" x14ac:dyDescent="0.25">
      <c r="A5" s="23" t="s">
        <v>19</v>
      </c>
      <c r="B5" s="23" t="s">
        <v>0</v>
      </c>
      <c r="C5" s="23" t="s">
        <v>1</v>
      </c>
      <c r="D5" s="23" t="s">
        <v>59</v>
      </c>
      <c r="E5" s="14" t="s">
        <v>8</v>
      </c>
      <c r="F5" s="31" t="s">
        <v>63</v>
      </c>
      <c r="G5" s="16"/>
      <c r="H5" s="24"/>
      <c r="I5" s="24"/>
      <c r="K5" t="s">
        <v>81</v>
      </c>
      <c r="L5"/>
      <c r="M5" s="40"/>
    </row>
    <row r="6" spans="1:13" x14ac:dyDescent="0.25">
      <c r="A6" t="s">
        <v>2</v>
      </c>
      <c r="B6" s="6">
        <v>55002</v>
      </c>
      <c r="C6" t="s">
        <v>3</v>
      </c>
      <c r="D6" t="s">
        <v>61</v>
      </c>
      <c r="E6" s="2">
        <v>6.2E-2</v>
      </c>
      <c r="F6" s="4" t="s">
        <v>92</v>
      </c>
      <c r="K6" s="46" t="s">
        <v>69</v>
      </c>
      <c r="M6" s="40"/>
    </row>
    <row r="7" spans="1:13" x14ac:dyDescent="0.25">
      <c r="A7" t="s">
        <v>5</v>
      </c>
      <c r="B7" s="6">
        <v>55008</v>
      </c>
      <c r="C7" t="s">
        <v>4</v>
      </c>
      <c r="D7" t="s">
        <v>61</v>
      </c>
      <c r="E7" s="2">
        <v>1.4500000000000001E-2</v>
      </c>
      <c r="K7" t="s">
        <v>70</v>
      </c>
      <c r="M7" s="40"/>
    </row>
    <row r="8" spans="1:13" x14ac:dyDescent="0.25">
      <c r="A8" t="s">
        <v>7</v>
      </c>
      <c r="B8" s="6">
        <v>55017</v>
      </c>
      <c r="C8" t="s">
        <v>56</v>
      </c>
      <c r="D8" t="s">
        <v>60</v>
      </c>
      <c r="E8" s="2">
        <v>0.08</v>
      </c>
    </row>
    <row r="9" spans="1:13" x14ac:dyDescent="0.25">
      <c r="A9" t="s">
        <v>54</v>
      </c>
      <c r="B9" s="6">
        <v>55017</v>
      </c>
      <c r="C9" t="s">
        <v>57</v>
      </c>
      <c r="D9" t="s">
        <v>60</v>
      </c>
      <c r="E9" s="2">
        <f>8%</f>
        <v>0.08</v>
      </c>
      <c r="K9" t="s">
        <v>71</v>
      </c>
      <c r="L9" s="42">
        <v>1500000</v>
      </c>
    </row>
    <row r="10" spans="1:13" x14ac:dyDescent="0.25">
      <c r="A10" t="s">
        <v>9</v>
      </c>
      <c r="B10" s="6">
        <v>55006</v>
      </c>
      <c r="C10" t="s">
        <v>18</v>
      </c>
      <c r="D10" t="s">
        <v>60</v>
      </c>
      <c r="E10" s="2">
        <v>6.6000000000000003E-2</v>
      </c>
      <c r="K10" t="s">
        <v>72</v>
      </c>
      <c r="L10" s="47">
        <f>+E19</f>
        <v>0.19905</v>
      </c>
    </row>
    <row r="11" spans="1:13" x14ac:dyDescent="0.25">
      <c r="A11" t="s">
        <v>10</v>
      </c>
      <c r="B11" s="6">
        <v>55023</v>
      </c>
      <c r="C11" t="s">
        <v>17</v>
      </c>
      <c r="D11" t="s">
        <v>60</v>
      </c>
      <c r="E11" s="2">
        <v>1.9E-2</v>
      </c>
      <c r="K11" s="38" t="s">
        <v>73</v>
      </c>
      <c r="L11" s="44">
        <f>+L9*L10</f>
        <v>298575</v>
      </c>
    </row>
    <row r="12" spans="1:13" x14ac:dyDescent="0.25">
      <c r="A12" t="s">
        <v>11</v>
      </c>
      <c r="B12" s="6">
        <v>55001</v>
      </c>
      <c r="C12" t="s">
        <v>55</v>
      </c>
      <c r="D12" t="s">
        <v>60</v>
      </c>
      <c r="E12" s="2">
        <v>1.7000000000000001E-2</v>
      </c>
      <c r="K12" t="s">
        <v>90</v>
      </c>
      <c r="L12" s="43">
        <f>E37*20</f>
        <v>207496.8</v>
      </c>
    </row>
    <row r="13" spans="1:13" x14ac:dyDescent="0.25">
      <c r="A13" t="s">
        <v>44</v>
      </c>
      <c r="B13" s="6">
        <v>55020</v>
      </c>
      <c r="C13" t="s">
        <v>45</v>
      </c>
      <c r="D13" t="s">
        <v>60</v>
      </c>
      <c r="E13" s="2">
        <v>2.5000000000000001E-2</v>
      </c>
      <c r="K13" s="38" t="s">
        <v>74</v>
      </c>
      <c r="L13" s="44">
        <f>+L11+L12</f>
        <v>506071.8</v>
      </c>
    </row>
    <row r="14" spans="1:13" x14ac:dyDescent="0.25">
      <c r="A14" t="s">
        <v>12</v>
      </c>
      <c r="B14" s="6">
        <v>55003</v>
      </c>
      <c r="C14" t="s">
        <v>15</v>
      </c>
      <c r="D14" t="s">
        <v>60</v>
      </c>
      <c r="E14" s="5">
        <v>1.0300000000000001E-3</v>
      </c>
      <c r="K14" t="s">
        <v>75</v>
      </c>
      <c r="L14" s="41">
        <f>+L13/L9</f>
        <v>0.33738119999999999</v>
      </c>
    </row>
    <row r="15" spans="1:13" x14ac:dyDescent="0.25">
      <c r="A15" t="s">
        <v>13</v>
      </c>
      <c r="B15" s="6">
        <v>55004</v>
      </c>
      <c r="C15" t="s">
        <v>16</v>
      </c>
      <c r="D15" t="s">
        <v>84</v>
      </c>
      <c r="E15" s="5">
        <v>5.5199999999999997E-3</v>
      </c>
      <c r="F15" s="30">
        <v>9000</v>
      </c>
      <c r="K15" s="38"/>
      <c r="M15" s="40"/>
    </row>
    <row r="16" spans="1:13" x14ac:dyDescent="0.25">
      <c r="M16" s="41"/>
    </row>
    <row r="18" spans="1:13" x14ac:dyDescent="0.25">
      <c r="C18" s="26" t="s">
        <v>20</v>
      </c>
      <c r="D18" s="26"/>
      <c r="K18" s="50" t="s">
        <v>76</v>
      </c>
      <c r="L18" s="6"/>
      <c r="M18" s="6"/>
    </row>
    <row r="19" spans="1:13" x14ac:dyDescent="0.25">
      <c r="C19" s="27" t="s">
        <v>25</v>
      </c>
      <c r="D19" s="27"/>
      <c r="E19" s="12">
        <f>+AVERAGE(E20:E23)</f>
        <v>0.19905</v>
      </c>
      <c r="K19" s="46" t="s">
        <v>69</v>
      </c>
      <c r="M19" s="45"/>
    </row>
    <row r="20" spans="1:13" x14ac:dyDescent="0.25">
      <c r="C20" s="7" t="s">
        <v>21</v>
      </c>
      <c r="D20" s="7"/>
      <c r="E20" s="32">
        <f>SUM(E6:E8,E12:E15)</f>
        <v>0.20504999999999998</v>
      </c>
      <c r="K20" t="s">
        <v>77</v>
      </c>
      <c r="M20" s="39"/>
    </row>
    <row r="21" spans="1:13" x14ac:dyDescent="0.25">
      <c r="C21" s="7" t="s">
        <v>22</v>
      </c>
      <c r="D21" s="7"/>
      <c r="E21" s="2">
        <f>SUM(E6:E7,E10:E15)</f>
        <v>0.21004999999999999</v>
      </c>
      <c r="K21" s="23" t="s">
        <v>19</v>
      </c>
      <c r="L21" s="14" t="s">
        <v>8</v>
      </c>
      <c r="M21" s="49" t="s">
        <v>80</v>
      </c>
    </row>
    <row r="22" spans="1:13" x14ac:dyDescent="0.25">
      <c r="C22" s="7" t="s">
        <v>23</v>
      </c>
      <c r="D22" s="7"/>
      <c r="E22" s="32">
        <f>SUM(E6:E8,E13:E15)</f>
        <v>0.18804999999999999</v>
      </c>
      <c r="K22" t="s">
        <v>2</v>
      </c>
      <c r="L22" s="2">
        <f>+E6</f>
        <v>6.2E-2</v>
      </c>
      <c r="M22" s="42">
        <f t="shared" ref="M22:M28" si="0">60000*L22</f>
        <v>3720</v>
      </c>
    </row>
    <row r="23" spans="1:13" x14ac:dyDescent="0.25">
      <c r="C23" s="7" t="s">
        <v>24</v>
      </c>
      <c r="D23" s="7"/>
      <c r="E23" s="32">
        <f>SUM(E6:E7,E10:E11,E13:E15)</f>
        <v>0.19305</v>
      </c>
      <c r="K23" t="s">
        <v>5</v>
      </c>
      <c r="L23" s="2">
        <f>+E7</f>
        <v>1.4500000000000001E-2</v>
      </c>
      <c r="M23" s="42">
        <f t="shared" si="0"/>
        <v>870</v>
      </c>
    </row>
    <row r="24" spans="1:13" x14ac:dyDescent="0.25">
      <c r="C24" s="7" t="s">
        <v>65</v>
      </c>
      <c r="D24" s="7"/>
      <c r="E24" s="32">
        <f>SUM(E6:E9,E12:E15)</f>
        <v>0.28505000000000003</v>
      </c>
      <c r="K24" t="s">
        <v>7</v>
      </c>
      <c r="L24" s="2">
        <f>+E8</f>
        <v>0.08</v>
      </c>
      <c r="M24" s="42">
        <f t="shared" si="0"/>
        <v>4800</v>
      </c>
    </row>
    <row r="25" spans="1:13" x14ac:dyDescent="0.25">
      <c r="C25" s="7" t="s">
        <v>66</v>
      </c>
      <c r="D25" s="7"/>
      <c r="E25" s="32">
        <f>SUM(E6:E9,E13:E15)</f>
        <v>0.26805000000000001</v>
      </c>
      <c r="K25" t="s">
        <v>11</v>
      </c>
      <c r="L25" s="2">
        <f>+E12</f>
        <v>1.7000000000000001E-2</v>
      </c>
      <c r="M25" s="42">
        <f t="shared" si="0"/>
        <v>1020.0000000000001</v>
      </c>
    </row>
    <row r="26" spans="1:13" x14ac:dyDescent="0.25">
      <c r="C26" s="7" t="s">
        <v>58</v>
      </c>
      <c r="D26" s="7"/>
      <c r="E26" s="32">
        <f>SUM(E14:E15)+1.845%</f>
        <v>2.5000000000000001E-2</v>
      </c>
      <c r="K26" t="s">
        <v>44</v>
      </c>
      <c r="L26" s="2">
        <f>+E13</f>
        <v>2.5000000000000001E-2</v>
      </c>
      <c r="M26" s="42">
        <f t="shared" si="0"/>
        <v>1500</v>
      </c>
    </row>
    <row r="27" spans="1:13" x14ac:dyDescent="0.25">
      <c r="C27" s="7" t="s">
        <v>49</v>
      </c>
      <c r="D27" s="7"/>
      <c r="E27" s="2">
        <f>SUM(E6:E7,E13:E15)</f>
        <v>0.10805000000000001</v>
      </c>
      <c r="K27" t="s">
        <v>12</v>
      </c>
      <c r="L27" s="5">
        <f>+E14</f>
        <v>1.0300000000000001E-3</v>
      </c>
      <c r="M27" s="42">
        <f t="shared" si="0"/>
        <v>61.800000000000004</v>
      </c>
    </row>
    <row r="28" spans="1:13" x14ac:dyDescent="0.25">
      <c r="C28" s="7" t="s">
        <v>48</v>
      </c>
      <c r="D28" s="7"/>
      <c r="E28" s="2">
        <f>SUM(E14:E15)</f>
        <v>6.5500000000000003E-3</v>
      </c>
      <c r="K28" t="s">
        <v>13</v>
      </c>
      <c r="L28" s="37">
        <f>+E15</f>
        <v>5.5199999999999997E-3</v>
      </c>
      <c r="M28" s="43">
        <f t="shared" si="0"/>
        <v>331.2</v>
      </c>
    </row>
    <row r="29" spans="1:13" x14ac:dyDescent="0.25">
      <c r="K29" t="s">
        <v>82</v>
      </c>
      <c r="L29" s="36">
        <f>SUM(L22:L28)</f>
        <v>0.20504999999999998</v>
      </c>
      <c r="M29" s="44">
        <f>SUM(M22:M28)</f>
        <v>12303</v>
      </c>
    </row>
    <row r="30" spans="1:13" x14ac:dyDescent="0.25">
      <c r="K30" t="s">
        <v>88</v>
      </c>
      <c r="M30" s="43">
        <f>E35*12</f>
        <v>15091.439999999999</v>
      </c>
    </row>
    <row r="31" spans="1:13" x14ac:dyDescent="0.25">
      <c r="A31" t="s">
        <v>38</v>
      </c>
      <c r="B31" s="6">
        <v>55005</v>
      </c>
      <c r="C31" t="s">
        <v>26</v>
      </c>
      <c r="D31" t="s">
        <v>60</v>
      </c>
      <c r="E31" s="14" t="s">
        <v>31</v>
      </c>
      <c r="F31" s="15" t="s">
        <v>33</v>
      </c>
      <c r="G31" s="13"/>
      <c r="H31" s="16" t="s">
        <v>32</v>
      </c>
      <c r="I31" s="15" t="s">
        <v>33</v>
      </c>
      <c r="K31" t="s">
        <v>78</v>
      </c>
      <c r="M31" s="44">
        <f>+M29+M30</f>
        <v>27394.44</v>
      </c>
    </row>
    <row r="32" spans="1:13" x14ac:dyDescent="0.25">
      <c r="C32" s="25" t="s">
        <v>27</v>
      </c>
      <c r="D32" s="25"/>
      <c r="E32" s="8">
        <v>675.16</v>
      </c>
      <c r="F32" s="18">
        <f>1733/3180</f>
        <v>0.54496855345911954</v>
      </c>
      <c r="G32" s="10"/>
      <c r="H32" s="8">
        <v>337.58</v>
      </c>
      <c r="I32" s="18">
        <f>82/96</f>
        <v>0.85416666666666663</v>
      </c>
      <c r="K32" t="s">
        <v>79</v>
      </c>
      <c r="M32" s="48">
        <f>+M31/60000</f>
        <v>0.45657399999999998</v>
      </c>
    </row>
    <row r="33" spans="1:9" x14ac:dyDescent="0.25">
      <c r="C33" s="25" t="s">
        <v>28</v>
      </c>
      <c r="D33" s="25"/>
      <c r="E33" s="8">
        <v>1029.06</v>
      </c>
      <c r="F33" s="19">
        <f>440/3180</f>
        <v>0.13836477987421383</v>
      </c>
      <c r="G33" s="11"/>
      <c r="H33" s="8">
        <v>514.54</v>
      </c>
      <c r="I33" s="18">
        <f>9/96</f>
        <v>9.375E-2</v>
      </c>
    </row>
    <row r="34" spans="1:9" x14ac:dyDescent="0.25">
      <c r="C34" s="25" t="s">
        <v>29</v>
      </c>
      <c r="D34" s="25"/>
      <c r="E34" s="8">
        <v>901.6</v>
      </c>
      <c r="F34" s="19">
        <f>393/3180</f>
        <v>0.12358490566037736</v>
      </c>
      <c r="G34" s="11"/>
      <c r="H34" s="8">
        <v>450.8</v>
      </c>
      <c r="I34" s="18">
        <f>1/96</f>
        <v>1.0416666666666666E-2</v>
      </c>
    </row>
    <row r="35" spans="1:9" x14ac:dyDescent="0.25">
      <c r="C35" s="25" t="s">
        <v>30</v>
      </c>
      <c r="D35" s="25"/>
      <c r="E35" s="9">
        <v>1257.6199999999999</v>
      </c>
      <c r="F35" s="20">
        <f>614/3180</f>
        <v>0.19308176100628932</v>
      </c>
      <c r="G35" s="17"/>
      <c r="H35" s="9">
        <v>628.82000000000005</v>
      </c>
      <c r="I35" s="22">
        <f>4/96</f>
        <v>4.1666666666666664E-2</v>
      </c>
    </row>
    <row r="36" spans="1:9" x14ac:dyDescent="0.25">
      <c r="C36" s="7" t="s">
        <v>37</v>
      </c>
      <c r="D36" s="7"/>
      <c r="E36" s="3">
        <f>+ROUND(E32*F32+E33*F33+E34*F34+E35*F35,2)</f>
        <v>864.57</v>
      </c>
      <c r="F36" s="21">
        <f>SUM(F32:F35)</f>
        <v>1</v>
      </c>
      <c r="G36" s="1"/>
      <c r="H36" s="3">
        <f>+ROUND(H32*I32+H33*I33+H34*I34+H35*I35,2)</f>
        <v>367.48</v>
      </c>
      <c r="I36" s="21">
        <f>SUM(I32:I35)</f>
        <v>0.99999999999999989</v>
      </c>
    </row>
    <row r="37" spans="1:9" x14ac:dyDescent="0.25">
      <c r="C37" s="28" t="s">
        <v>36</v>
      </c>
      <c r="D37" s="28"/>
      <c r="E37" s="29">
        <f>+E36*12</f>
        <v>10374.84</v>
      </c>
      <c r="H37" s="3">
        <f>+H36*12</f>
        <v>4409.76</v>
      </c>
    </row>
    <row r="38" spans="1:9" x14ac:dyDescent="0.25">
      <c r="C38" s="7"/>
      <c r="D38" s="7"/>
      <c r="E38" s="3"/>
    </row>
    <row r="39" spans="1:9" x14ac:dyDescent="0.25">
      <c r="A39" t="s">
        <v>93</v>
      </c>
      <c r="B39" s="6">
        <v>55005</v>
      </c>
      <c r="C39" t="s">
        <v>94</v>
      </c>
      <c r="D39" t="s">
        <v>60</v>
      </c>
      <c r="E39" s="8">
        <v>337.58</v>
      </c>
      <c r="H39" s="8">
        <v>168.79</v>
      </c>
    </row>
    <row r="40" spans="1:9" x14ac:dyDescent="0.25">
      <c r="A40" t="s">
        <v>99</v>
      </c>
      <c r="B40" s="6">
        <v>55025</v>
      </c>
      <c r="C40" t="s">
        <v>98</v>
      </c>
      <c r="D40" t="s">
        <v>97</v>
      </c>
      <c r="E40" s="8"/>
      <c r="H40" s="8">
        <v>277</v>
      </c>
      <c r="I40" s="4"/>
    </row>
    <row r="42" spans="1:9" ht="65.25" customHeight="1" x14ac:dyDescent="0.25">
      <c r="A42" s="59" t="s">
        <v>96</v>
      </c>
      <c r="B42" s="59"/>
      <c r="C42" s="59"/>
      <c r="D42" s="59"/>
      <c r="E42" s="59"/>
      <c r="F42" s="59"/>
      <c r="G42" s="59"/>
      <c r="H42" s="59"/>
      <c r="I42" s="59"/>
    </row>
    <row r="43" spans="1:9" ht="62.25" customHeight="1" x14ac:dyDescent="0.25">
      <c r="A43" s="59" t="s">
        <v>95</v>
      </c>
      <c r="B43" s="59"/>
      <c r="C43" s="59"/>
      <c r="D43" s="59"/>
      <c r="E43" s="59"/>
      <c r="F43" s="59"/>
      <c r="G43" s="59"/>
      <c r="H43" s="59"/>
      <c r="I43" s="59"/>
    </row>
    <row r="45" spans="1:9" x14ac:dyDescent="0.25">
      <c r="A45" s="33" t="s">
        <v>50</v>
      </c>
    </row>
    <row r="46" spans="1:9" ht="63" customHeight="1" x14ac:dyDescent="0.25">
      <c r="A46" s="53" t="s">
        <v>91</v>
      </c>
      <c r="B46" s="53"/>
      <c r="C46" s="53"/>
      <c r="D46" s="53"/>
      <c r="E46" s="53"/>
      <c r="F46" s="53"/>
      <c r="G46" s="53"/>
      <c r="H46" s="53"/>
      <c r="I46" s="53"/>
    </row>
    <row r="48" spans="1:9" ht="47.25" customHeight="1" x14ac:dyDescent="0.25">
      <c r="A48" s="53" t="s">
        <v>53</v>
      </c>
      <c r="B48" s="53"/>
      <c r="C48" s="53"/>
      <c r="D48" s="53"/>
      <c r="E48" s="53"/>
      <c r="F48" s="53"/>
      <c r="G48" s="53"/>
      <c r="H48" s="53"/>
      <c r="I48" s="53"/>
    </row>
    <row r="49" spans="1:9" x14ac:dyDescent="0.25">
      <c r="A49" s="34"/>
    </row>
    <row r="50" spans="1:9" ht="63.75" customHeight="1" x14ac:dyDescent="0.25">
      <c r="A50" s="53" t="s">
        <v>86</v>
      </c>
      <c r="B50" s="53"/>
      <c r="C50" s="53"/>
      <c r="D50" s="53"/>
      <c r="E50" s="53"/>
      <c r="F50" s="53"/>
      <c r="G50" s="53"/>
      <c r="H50" s="53"/>
      <c r="I50" s="53"/>
    </row>
    <row r="51" spans="1:9" x14ac:dyDescent="0.25">
      <c r="A51" s="34"/>
    </row>
    <row r="52" spans="1:9" x14ac:dyDescent="0.25">
      <c r="A52" s="54" t="s">
        <v>51</v>
      </c>
      <c r="B52" s="54"/>
      <c r="C52" s="54"/>
      <c r="D52" s="54"/>
      <c r="E52" s="54"/>
      <c r="F52" s="54"/>
      <c r="G52" s="54"/>
      <c r="H52" s="54"/>
      <c r="I52" s="54"/>
    </row>
    <row r="53" spans="1:9" x14ac:dyDescent="0.25">
      <c r="A53" s="53" t="s">
        <v>52</v>
      </c>
      <c r="B53" s="53"/>
      <c r="C53" s="53"/>
      <c r="D53" s="53"/>
      <c r="E53" s="53"/>
      <c r="F53" s="53"/>
      <c r="G53" s="53"/>
      <c r="H53" s="53"/>
      <c r="I53" s="53"/>
    </row>
    <row r="55" spans="1:9" ht="30.75" customHeight="1" x14ac:dyDescent="0.25">
      <c r="A55" s="55" t="s">
        <v>68</v>
      </c>
      <c r="B55" s="55"/>
      <c r="C55" s="55"/>
      <c r="D55" s="55"/>
      <c r="E55" s="55"/>
      <c r="F55" s="55"/>
      <c r="G55" s="55"/>
      <c r="H55" s="55"/>
      <c r="I55" s="55"/>
    </row>
    <row r="56" spans="1:9" x14ac:dyDescent="0.25">
      <c r="A56" s="35" t="s">
        <v>67</v>
      </c>
    </row>
  </sheetData>
  <mergeCells count="11">
    <mergeCell ref="A52:I52"/>
    <mergeCell ref="A53:I53"/>
    <mergeCell ref="A55:I55"/>
    <mergeCell ref="A1:I1"/>
    <mergeCell ref="A2:I2"/>
    <mergeCell ref="A3:I3"/>
    <mergeCell ref="A46:I46"/>
    <mergeCell ref="A48:I48"/>
    <mergeCell ref="A50:I50"/>
    <mergeCell ref="A42:I42"/>
    <mergeCell ref="A43:I43"/>
  </mergeCells>
  <hyperlinks>
    <hyperlink ref="A56" r:id="rId1" display="https://www.trs.texas.gov/TRS Documents/employment_after_retirement.pdf" xr:uid="{4AC2AAE2-ADFF-455D-B411-9FBF9AF58CC0}"/>
  </hyperlinks>
  <printOptions horizontalCentered="1"/>
  <pageMargins left="0.45" right="0.45" top="0.75" bottom="0.75" header="0.3" footer="0.3"/>
  <pageSetup scale="91"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992AD-8DC9-46BF-8308-52DBFF1DF053}">
  <dimension ref="A1:M51"/>
  <sheetViews>
    <sheetView zoomScaleNormal="100" workbookViewId="0">
      <selection activeCell="A2" sqref="A2:I2"/>
    </sheetView>
  </sheetViews>
  <sheetFormatPr defaultRowHeight="15" x14ac:dyDescent="0.25"/>
  <cols>
    <col min="1" max="1" width="20.7109375" customWidth="1"/>
    <col min="2" max="2" width="8.28515625" bestFit="1" customWidth="1"/>
    <col min="3" max="3" width="41.7109375" bestFit="1" customWidth="1"/>
    <col min="4" max="4" width="15.28515625" bestFit="1" customWidth="1"/>
    <col min="5" max="5" width="15.42578125" style="2" bestFit="1" customWidth="1"/>
    <col min="6" max="6" width="12.85546875" style="4" customWidth="1"/>
    <col min="7" max="7" width="2.5703125" style="4" customWidth="1"/>
    <col min="8" max="8" width="11.28515625" bestFit="1" customWidth="1"/>
    <col min="9" max="9" width="13" bestFit="1" customWidth="1"/>
    <col min="10" max="10" width="5" customWidth="1"/>
    <col min="11" max="11" width="37.42578125" customWidth="1"/>
    <col min="12" max="12" width="10.140625" bestFit="1" customWidth="1"/>
  </cols>
  <sheetData>
    <row r="1" spans="1:13" ht="21" x14ac:dyDescent="0.35">
      <c r="A1" s="56" t="s">
        <v>39</v>
      </c>
      <c r="B1" s="56"/>
      <c r="C1" s="56"/>
      <c r="D1" s="56"/>
      <c r="E1" s="56"/>
      <c r="F1" s="56"/>
      <c r="G1" s="56"/>
      <c r="H1" s="56"/>
      <c r="I1" s="56"/>
    </row>
    <row r="2" spans="1:13" ht="18.75" x14ac:dyDescent="0.3">
      <c r="A2" s="57" t="s">
        <v>46</v>
      </c>
      <c r="B2" s="57"/>
      <c r="C2" s="57"/>
      <c r="D2" s="57"/>
      <c r="E2" s="57"/>
      <c r="F2" s="57"/>
      <c r="G2" s="57"/>
      <c r="H2" s="57"/>
      <c r="I2" s="57"/>
    </row>
    <row r="3" spans="1:13" x14ac:dyDescent="0.25">
      <c r="A3" s="58" t="s">
        <v>85</v>
      </c>
      <c r="B3" s="58"/>
      <c r="C3" s="58"/>
      <c r="D3" s="58"/>
      <c r="E3" s="58"/>
      <c r="F3" s="58"/>
      <c r="G3" s="58"/>
      <c r="H3" s="58"/>
      <c r="I3" s="58"/>
    </row>
    <row r="5" spans="1:13" s="6" customFormat="1" x14ac:dyDescent="0.25">
      <c r="A5" s="23" t="s">
        <v>19</v>
      </c>
      <c r="B5" s="23" t="s">
        <v>0</v>
      </c>
      <c r="C5" s="23" t="s">
        <v>1</v>
      </c>
      <c r="D5" s="23" t="s">
        <v>59</v>
      </c>
      <c r="E5" s="14" t="s">
        <v>8</v>
      </c>
      <c r="F5" s="31" t="s">
        <v>63</v>
      </c>
      <c r="G5" s="16"/>
      <c r="H5" s="24"/>
      <c r="I5" s="24"/>
      <c r="K5" t="s">
        <v>81</v>
      </c>
      <c r="L5"/>
      <c r="M5" s="40"/>
    </row>
    <row r="6" spans="1:13" x14ac:dyDescent="0.25">
      <c r="A6" t="s">
        <v>2</v>
      </c>
      <c r="B6" s="6">
        <v>55002</v>
      </c>
      <c r="C6" t="s">
        <v>3</v>
      </c>
      <c r="D6" t="s">
        <v>61</v>
      </c>
      <c r="E6" s="2">
        <v>6.2E-2</v>
      </c>
      <c r="F6" s="4" t="s">
        <v>62</v>
      </c>
      <c r="K6" s="46" t="s">
        <v>69</v>
      </c>
      <c r="M6" s="40"/>
    </row>
    <row r="7" spans="1:13" x14ac:dyDescent="0.25">
      <c r="A7" t="s">
        <v>5</v>
      </c>
      <c r="B7" s="6">
        <v>55008</v>
      </c>
      <c r="C7" t="s">
        <v>4</v>
      </c>
      <c r="D7" t="s">
        <v>61</v>
      </c>
      <c r="E7" s="2">
        <v>1.4500000000000001E-2</v>
      </c>
      <c r="K7" t="s">
        <v>70</v>
      </c>
      <c r="M7" s="40"/>
    </row>
    <row r="8" spans="1:13" x14ac:dyDescent="0.25">
      <c r="A8" t="s">
        <v>7</v>
      </c>
      <c r="B8" s="6">
        <v>55017</v>
      </c>
      <c r="C8" t="s">
        <v>56</v>
      </c>
      <c r="D8" t="s">
        <v>60</v>
      </c>
      <c r="E8" s="2">
        <v>7.7499999999999999E-2</v>
      </c>
    </row>
    <row r="9" spans="1:13" x14ac:dyDescent="0.25">
      <c r="A9" t="s">
        <v>54</v>
      </c>
      <c r="B9" s="6">
        <v>55017</v>
      </c>
      <c r="C9" t="s">
        <v>57</v>
      </c>
      <c r="D9" t="s">
        <v>60</v>
      </c>
      <c r="E9" s="2">
        <f>8%</f>
        <v>0.08</v>
      </c>
      <c r="K9" t="s">
        <v>71</v>
      </c>
      <c r="L9" s="42">
        <v>1500000</v>
      </c>
    </row>
    <row r="10" spans="1:13" x14ac:dyDescent="0.25">
      <c r="A10" t="s">
        <v>9</v>
      </c>
      <c r="B10" s="6">
        <v>55006</v>
      </c>
      <c r="C10" t="s">
        <v>18</v>
      </c>
      <c r="D10" t="s">
        <v>60</v>
      </c>
      <c r="E10" s="2">
        <v>6.6000000000000003E-2</v>
      </c>
      <c r="K10" t="s">
        <v>72</v>
      </c>
      <c r="L10" s="47">
        <v>0.19500000000000001</v>
      </c>
    </row>
    <row r="11" spans="1:13" x14ac:dyDescent="0.25">
      <c r="A11" t="s">
        <v>10</v>
      </c>
      <c r="B11" s="6">
        <v>55023</v>
      </c>
      <c r="C11" t="s">
        <v>17</v>
      </c>
      <c r="D11" t="s">
        <v>60</v>
      </c>
      <c r="E11" s="2">
        <v>1.9E-2</v>
      </c>
      <c r="K11" s="38" t="s">
        <v>73</v>
      </c>
      <c r="L11" s="44">
        <f>+L9*L10</f>
        <v>292500</v>
      </c>
    </row>
    <row r="12" spans="1:13" x14ac:dyDescent="0.25">
      <c r="A12" t="s">
        <v>11</v>
      </c>
      <c r="B12" s="6">
        <v>55001</v>
      </c>
      <c r="C12" t="s">
        <v>55</v>
      </c>
      <c r="D12" t="s">
        <v>60</v>
      </c>
      <c r="E12" s="2">
        <v>1.4E-2</v>
      </c>
      <c r="K12" t="s">
        <v>89</v>
      </c>
      <c r="L12" s="43">
        <f>9651.12*20</f>
        <v>193022.40000000002</v>
      </c>
    </row>
    <row r="13" spans="1:13" x14ac:dyDescent="0.25">
      <c r="A13" t="s">
        <v>44</v>
      </c>
      <c r="B13" s="6">
        <v>55020</v>
      </c>
      <c r="C13" t="s">
        <v>45</v>
      </c>
      <c r="D13" t="s">
        <v>60</v>
      </c>
      <c r="E13" s="2">
        <v>2.5000000000000001E-2</v>
      </c>
      <c r="K13" s="38" t="s">
        <v>74</v>
      </c>
      <c r="L13" s="44">
        <f>+L11+L12</f>
        <v>485522.4</v>
      </c>
    </row>
    <row r="14" spans="1:13" x14ac:dyDescent="0.25">
      <c r="A14" t="s">
        <v>12</v>
      </c>
      <c r="B14" s="6">
        <v>55003</v>
      </c>
      <c r="C14" t="s">
        <v>15</v>
      </c>
      <c r="D14" t="s">
        <v>60</v>
      </c>
      <c r="E14" s="5">
        <v>1.1000000000000001E-3</v>
      </c>
      <c r="K14" t="s">
        <v>75</v>
      </c>
      <c r="L14" s="41">
        <f>+L13/L9</f>
        <v>0.32368160000000001</v>
      </c>
    </row>
    <row r="15" spans="1:13" x14ac:dyDescent="0.25">
      <c r="A15" t="s">
        <v>13</v>
      </c>
      <c r="B15" s="6">
        <v>55004</v>
      </c>
      <c r="C15" t="s">
        <v>16</v>
      </c>
      <c r="D15" t="s">
        <v>84</v>
      </c>
      <c r="E15" s="5">
        <v>4.1900000000000001E-3</v>
      </c>
      <c r="F15" s="30">
        <v>9000</v>
      </c>
      <c r="K15" s="38"/>
      <c r="M15" s="40"/>
    </row>
    <row r="16" spans="1:13" x14ac:dyDescent="0.25">
      <c r="M16" s="41"/>
    </row>
    <row r="18" spans="1:13" x14ac:dyDescent="0.25">
      <c r="C18" s="26" t="s">
        <v>20</v>
      </c>
      <c r="D18" s="26"/>
      <c r="K18" s="50" t="s">
        <v>76</v>
      </c>
      <c r="L18" s="6"/>
      <c r="M18" s="6"/>
    </row>
    <row r="19" spans="1:13" x14ac:dyDescent="0.25">
      <c r="C19" s="27" t="s">
        <v>25</v>
      </c>
      <c r="D19" s="27"/>
      <c r="E19" s="12">
        <f>+AVERAGE(E20:E23)</f>
        <v>0.19503999999999999</v>
      </c>
      <c r="K19" s="46" t="s">
        <v>69</v>
      </c>
      <c r="M19" s="45"/>
    </row>
    <row r="20" spans="1:13" x14ac:dyDescent="0.25">
      <c r="C20" s="7" t="s">
        <v>21</v>
      </c>
      <c r="D20" s="7"/>
      <c r="E20" s="32">
        <f>SUM(E6:E8,E12:E15)</f>
        <v>0.19828999999999999</v>
      </c>
      <c r="K20" t="s">
        <v>77</v>
      </c>
      <c r="M20" s="39"/>
    </row>
    <row r="21" spans="1:13" x14ac:dyDescent="0.25">
      <c r="C21" s="7" t="s">
        <v>22</v>
      </c>
      <c r="D21" s="7"/>
      <c r="E21" s="2">
        <f>SUM(E6:E7,E10:E15)</f>
        <v>0.20579</v>
      </c>
      <c r="K21" s="23" t="s">
        <v>19</v>
      </c>
      <c r="L21" s="14" t="s">
        <v>8</v>
      </c>
      <c r="M21" s="49" t="s">
        <v>80</v>
      </c>
    </row>
    <row r="22" spans="1:13" x14ac:dyDescent="0.25">
      <c r="C22" s="7" t="s">
        <v>23</v>
      </c>
      <c r="D22" s="7"/>
      <c r="E22" s="32">
        <f>SUM(E6:E8,E13:E15)</f>
        <v>0.18428999999999998</v>
      </c>
      <c r="K22" t="s">
        <v>2</v>
      </c>
      <c r="L22" s="2">
        <v>6.2E-2</v>
      </c>
      <c r="M22" s="42">
        <f>60000*L22</f>
        <v>3720</v>
      </c>
    </row>
    <row r="23" spans="1:13" x14ac:dyDescent="0.25">
      <c r="C23" s="7" t="s">
        <v>24</v>
      </c>
      <c r="D23" s="7"/>
      <c r="E23" s="2">
        <f>SUM(E6:E7,E10:E11,E13:E15)</f>
        <v>0.19178999999999999</v>
      </c>
      <c r="K23" t="s">
        <v>5</v>
      </c>
      <c r="L23" s="2">
        <v>1.4500000000000001E-2</v>
      </c>
      <c r="M23" s="42">
        <f t="shared" ref="M23:M28" si="0">60000*L23</f>
        <v>870</v>
      </c>
    </row>
    <row r="24" spans="1:13" x14ac:dyDescent="0.25">
      <c r="C24" s="7" t="s">
        <v>65</v>
      </c>
      <c r="D24" s="7"/>
      <c r="E24" s="32">
        <f>SUM(E6:E9,E12:E15)</f>
        <v>0.27829000000000004</v>
      </c>
      <c r="K24" t="s">
        <v>7</v>
      </c>
      <c r="L24" s="2">
        <v>7.7499999999999999E-2</v>
      </c>
      <c r="M24" s="42">
        <f t="shared" si="0"/>
        <v>4650</v>
      </c>
    </row>
    <row r="25" spans="1:13" x14ac:dyDescent="0.25">
      <c r="C25" s="7" t="s">
        <v>66</v>
      </c>
      <c r="D25" s="7"/>
      <c r="E25" s="32">
        <f>SUM(E6:E9,E13:E15)</f>
        <v>0.26429000000000002</v>
      </c>
      <c r="K25" t="s">
        <v>11</v>
      </c>
      <c r="L25" s="2">
        <v>1.4E-2</v>
      </c>
      <c r="M25" s="42">
        <f t="shared" si="0"/>
        <v>840</v>
      </c>
    </row>
    <row r="26" spans="1:13" x14ac:dyDescent="0.25">
      <c r="C26" s="7" t="s">
        <v>58</v>
      </c>
      <c r="D26" s="7"/>
      <c r="E26" s="32">
        <v>0.03</v>
      </c>
      <c r="K26" t="s">
        <v>44</v>
      </c>
      <c r="L26" s="2">
        <v>2.5000000000000001E-2</v>
      </c>
      <c r="M26" s="42">
        <f t="shared" si="0"/>
        <v>1500</v>
      </c>
    </row>
    <row r="27" spans="1:13" x14ac:dyDescent="0.25">
      <c r="C27" s="7" t="s">
        <v>49</v>
      </c>
      <c r="D27" s="7"/>
      <c r="E27" s="2">
        <f>SUM(E6:E7,E14:E15)</f>
        <v>8.1790000000000002E-2</v>
      </c>
      <c r="K27" t="s">
        <v>12</v>
      </c>
      <c r="L27" s="5">
        <v>1.1000000000000001E-3</v>
      </c>
      <c r="M27" s="42">
        <f t="shared" si="0"/>
        <v>66</v>
      </c>
    </row>
    <row r="28" spans="1:13" x14ac:dyDescent="0.25">
      <c r="C28" s="7" t="s">
        <v>48</v>
      </c>
      <c r="D28" s="7"/>
      <c r="E28" s="2">
        <f>SUM(E14:E15)</f>
        <v>5.2900000000000004E-3</v>
      </c>
      <c r="K28" t="s">
        <v>13</v>
      </c>
      <c r="L28" s="37">
        <v>4.1900000000000001E-3</v>
      </c>
      <c r="M28" s="43">
        <f t="shared" si="0"/>
        <v>251.4</v>
      </c>
    </row>
    <row r="29" spans="1:13" x14ac:dyDescent="0.25">
      <c r="K29" t="s">
        <v>82</v>
      </c>
      <c r="L29" s="36">
        <f>SUM(L22:L28)</f>
        <v>0.19828999999999999</v>
      </c>
      <c r="M29" s="44">
        <f>SUM(M22:M28)</f>
        <v>11897.4</v>
      </c>
    </row>
    <row r="30" spans="1:13" x14ac:dyDescent="0.25">
      <c r="K30" t="s">
        <v>83</v>
      </c>
      <c r="M30" s="43">
        <f>1169.89*12</f>
        <v>14038.68</v>
      </c>
    </row>
    <row r="31" spans="1:13" x14ac:dyDescent="0.25">
      <c r="A31" t="s">
        <v>38</v>
      </c>
      <c r="B31" s="6">
        <v>55005</v>
      </c>
      <c r="C31" t="s">
        <v>26</v>
      </c>
      <c r="D31" t="s">
        <v>60</v>
      </c>
      <c r="E31" s="14" t="s">
        <v>31</v>
      </c>
      <c r="F31" s="15" t="s">
        <v>33</v>
      </c>
      <c r="G31" s="13"/>
      <c r="H31" s="16" t="s">
        <v>32</v>
      </c>
      <c r="I31" s="15" t="s">
        <v>33</v>
      </c>
      <c r="K31" t="s">
        <v>78</v>
      </c>
      <c r="M31" s="44">
        <f>+M29+M30</f>
        <v>25936.080000000002</v>
      </c>
    </row>
    <row r="32" spans="1:13" x14ac:dyDescent="0.25">
      <c r="C32" s="25" t="s">
        <v>27</v>
      </c>
      <c r="D32" s="25"/>
      <c r="E32" s="8">
        <v>628.05999999999995</v>
      </c>
      <c r="F32" s="18">
        <f>1733/3180</f>
        <v>0.54496855345911954</v>
      </c>
      <c r="G32" s="10"/>
      <c r="H32" s="8">
        <v>314.02999999999997</v>
      </c>
      <c r="I32" s="18">
        <f>82/96</f>
        <v>0.85416666666666663</v>
      </c>
      <c r="K32" t="s">
        <v>79</v>
      </c>
      <c r="M32" s="48">
        <f>+M31/60000</f>
        <v>0.43226800000000004</v>
      </c>
    </row>
    <row r="33" spans="1:9" x14ac:dyDescent="0.25">
      <c r="C33" s="25" t="s">
        <v>28</v>
      </c>
      <c r="D33" s="25"/>
      <c r="E33" s="8">
        <v>957.26</v>
      </c>
      <c r="F33" s="19">
        <f>440/3180</f>
        <v>0.13836477987421383</v>
      </c>
      <c r="G33" s="11"/>
      <c r="H33" s="8">
        <v>478.64</v>
      </c>
      <c r="I33" s="18">
        <f>9/96</f>
        <v>9.375E-2</v>
      </c>
    </row>
    <row r="34" spans="1:9" x14ac:dyDescent="0.25">
      <c r="C34" s="25" t="s">
        <v>29</v>
      </c>
      <c r="D34" s="25"/>
      <c r="E34" s="8">
        <v>838.7</v>
      </c>
      <c r="F34" s="19">
        <f>393/3180</f>
        <v>0.12358490566037736</v>
      </c>
      <c r="G34" s="11"/>
      <c r="H34" s="8">
        <v>419.35</v>
      </c>
      <c r="I34" s="18">
        <f>1/96</f>
        <v>1.0416666666666666E-2</v>
      </c>
    </row>
    <row r="35" spans="1:9" x14ac:dyDescent="0.25">
      <c r="C35" s="25" t="s">
        <v>30</v>
      </c>
      <c r="D35" s="25"/>
      <c r="E35" s="9">
        <v>1169.8800000000001</v>
      </c>
      <c r="F35" s="20">
        <f>614/3180</f>
        <v>0.19308176100628932</v>
      </c>
      <c r="G35" s="17"/>
      <c r="H35" s="9">
        <v>584.95000000000005</v>
      </c>
      <c r="I35" s="22">
        <f>4/96</f>
        <v>4.1666666666666664E-2</v>
      </c>
    </row>
    <row r="36" spans="1:9" x14ac:dyDescent="0.25">
      <c r="C36" s="7" t="s">
        <v>37</v>
      </c>
      <c r="D36" s="7"/>
      <c r="E36" s="3">
        <f>+ROUND(E32*F32+E33*F33+E34*F34+E35*F35,2)</f>
        <v>804.26</v>
      </c>
      <c r="F36" s="21">
        <f>SUM(F32:F35)</f>
        <v>1</v>
      </c>
      <c r="G36" s="1"/>
      <c r="H36" s="3">
        <f>+ROUND(H32*I32+H33*I33+H34*I34+H35*I35,2)</f>
        <v>341.85</v>
      </c>
      <c r="I36" s="21">
        <f>SUM(I32:I35)</f>
        <v>0.99999999999999989</v>
      </c>
    </row>
    <row r="37" spans="1:9" x14ac:dyDescent="0.25">
      <c r="C37" s="28" t="s">
        <v>36</v>
      </c>
      <c r="D37" s="28"/>
      <c r="E37" s="29">
        <f>+E36*12</f>
        <v>9651.119999999999</v>
      </c>
      <c r="H37" s="3">
        <f>+H36*12</f>
        <v>4102.2000000000007</v>
      </c>
    </row>
    <row r="38" spans="1:9" x14ac:dyDescent="0.25">
      <c r="C38" s="7"/>
      <c r="D38" s="7"/>
      <c r="E38" s="3"/>
    </row>
    <row r="40" spans="1:9" x14ac:dyDescent="0.25">
      <c r="A40" s="33" t="s">
        <v>50</v>
      </c>
    </row>
    <row r="41" spans="1:9" ht="48.75" customHeight="1" x14ac:dyDescent="0.25">
      <c r="A41" s="53" t="s">
        <v>64</v>
      </c>
      <c r="B41" s="53"/>
      <c r="C41" s="53"/>
      <c r="D41" s="53"/>
      <c r="E41" s="53"/>
      <c r="F41" s="53"/>
      <c r="G41" s="53"/>
      <c r="H41" s="53"/>
      <c r="I41" s="53"/>
    </row>
    <row r="43" spans="1:9" ht="47.25" customHeight="1" x14ac:dyDescent="0.25">
      <c r="A43" s="53" t="s">
        <v>53</v>
      </c>
      <c r="B43" s="53"/>
      <c r="C43" s="53"/>
      <c r="D43" s="53"/>
      <c r="E43" s="53"/>
      <c r="F43" s="53"/>
      <c r="G43" s="53"/>
      <c r="H43" s="53"/>
      <c r="I43" s="53"/>
    </row>
    <row r="44" spans="1:9" x14ac:dyDescent="0.25">
      <c r="A44" s="34"/>
    </row>
    <row r="45" spans="1:9" ht="63.75" customHeight="1" x14ac:dyDescent="0.25">
      <c r="A45" s="53" t="s">
        <v>86</v>
      </c>
      <c r="B45" s="53"/>
      <c r="C45" s="53"/>
      <c r="D45" s="53"/>
      <c r="E45" s="53"/>
      <c r="F45" s="53"/>
      <c r="G45" s="53"/>
      <c r="H45" s="53"/>
      <c r="I45" s="53"/>
    </row>
    <row r="46" spans="1:9" x14ac:dyDescent="0.25">
      <c r="A46" s="34"/>
    </row>
    <row r="47" spans="1:9" x14ac:dyDescent="0.25">
      <c r="A47" s="54" t="s">
        <v>51</v>
      </c>
      <c r="B47" s="54"/>
      <c r="C47" s="54"/>
      <c r="D47" s="54"/>
      <c r="E47" s="54"/>
      <c r="F47" s="54"/>
      <c r="G47" s="54"/>
      <c r="H47" s="54"/>
      <c r="I47" s="54"/>
    </row>
    <row r="48" spans="1:9" x14ac:dyDescent="0.25">
      <c r="A48" s="53" t="s">
        <v>52</v>
      </c>
      <c r="B48" s="53"/>
      <c r="C48" s="53"/>
      <c r="D48" s="53"/>
      <c r="E48" s="53"/>
      <c r="F48" s="53"/>
      <c r="G48" s="53"/>
      <c r="H48" s="53"/>
      <c r="I48" s="53"/>
    </row>
    <row r="50" spans="1:9" ht="30.75" customHeight="1" x14ac:dyDescent="0.25">
      <c r="A50" s="55" t="s">
        <v>68</v>
      </c>
      <c r="B50" s="55"/>
      <c r="C50" s="55"/>
      <c r="D50" s="55"/>
      <c r="E50" s="55"/>
      <c r="F50" s="55"/>
      <c r="G50" s="55"/>
      <c r="H50" s="55"/>
      <c r="I50" s="55"/>
    </row>
    <row r="51" spans="1:9" x14ac:dyDescent="0.25">
      <c r="A51" s="35" t="s">
        <v>67</v>
      </c>
    </row>
  </sheetData>
  <mergeCells count="9">
    <mergeCell ref="A50:I50"/>
    <mergeCell ref="A48:I48"/>
    <mergeCell ref="A1:I1"/>
    <mergeCell ref="A2:I2"/>
    <mergeCell ref="A41:I41"/>
    <mergeCell ref="A43:I43"/>
    <mergeCell ref="A47:I47"/>
    <mergeCell ref="A3:I3"/>
    <mergeCell ref="A45:I45"/>
  </mergeCells>
  <hyperlinks>
    <hyperlink ref="A51" r:id="rId1" display="https://www.trs.texas.gov/TRS Documents/employment_after_retirement.pdf" xr:uid="{E3CB353B-812A-4D0D-A4A8-A162DC402B79}"/>
  </hyperlinks>
  <printOptions horizontalCentered="1"/>
  <pageMargins left="0.45" right="0.45" top="0.75" bottom="0.75" header="0.3" footer="0.3"/>
  <pageSetup scale="91"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workbookViewId="0">
      <selection activeCell="C7" sqref="C7"/>
    </sheetView>
  </sheetViews>
  <sheetFormatPr defaultRowHeight="15" x14ac:dyDescent="0.25"/>
  <cols>
    <col min="1" max="1" width="19.85546875" bestFit="1" customWidth="1"/>
    <col min="2" max="2" width="8.140625" bestFit="1" customWidth="1"/>
    <col min="3" max="3" width="41.7109375" bestFit="1" customWidth="1"/>
    <col min="4" max="4" width="9.5703125" style="2" bestFit="1" customWidth="1"/>
    <col min="5" max="5" width="12.85546875" style="4" customWidth="1"/>
    <col min="6" max="6" width="2.5703125" style="4" customWidth="1"/>
    <col min="7" max="7" width="11.140625" bestFit="1" customWidth="1"/>
    <col min="8" max="8" width="12.85546875" bestFit="1" customWidth="1"/>
  </cols>
  <sheetData>
    <row r="1" spans="1:8" ht="21" x14ac:dyDescent="0.35">
      <c r="A1" s="56" t="s">
        <v>39</v>
      </c>
      <c r="B1" s="56"/>
      <c r="C1" s="56"/>
      <c r="D1" s="56"/>
      <c r="E1" s="56"/>
      <c r="F1" s="56"/>
      <c r="G1" s="56"/>
      <c r="H1" s="56"/>
    </row>
    <row r="2" spans="1:8" ht="18.75" x14ac:dyDescent="0.3">
      <c r="A2" s="57" t="s">
        <v>43</v>
      </c>
      <c r="B2" s="57"/>
      <c r="C2" s="57"/>
      <c r="D2" s="57"/>
      <c r="E2" s="57"/>
      <c r="F2" s="57"/>
      <c r="G2" s="57"/>
      <c r="H2" s="57"/>
    </row>
    <row r="4" spans="1:8" s="6" customFormat="1" x14ac:dyDescent="0.25">
      <c r="A4" s="23" t="s">
        <v>19</v>
      </c>
      <c r="B4" s="23" t="s">
        <v>0</v>
      </c>
      <c r="C4" s="23" t="s">
        <v>1</v>
      </c>
      <c r="D4" s="14" t="s">
        <v>8</v>
      </c>
      <c r="E4" s="31" t="s">
        <v>40</v>
      </c>
      <c r="F4" s="16"/>
      <c r="G4" s="24"/>
      <c r="H4" s="24"/>
    </row>
    <row r="5" spans="1:8" x14ac:dyDescent="0.25">
      <c r="A5" t="s">
        <v>2</v>
      </c>
      <c r="B5" s="6">
        <v>55002</v>
      </c>
      <c r="C5" t="s">
        <v>3</v>
      </c>
      <c r="D5" s="2">
        <v>6.2E-2</v>
      </c>
      <c r="E5" s="4" t="s">
        <v>47</v>
      </c>
    </row>
    <row r="6" spans="1:8" x14ac:dyDescent="0.25">
      <c r="A6" t="s">
        <v>5</v>
      </c>
      <c r="B6" s="6">
        <v>55008</v>
      </c>
      <c r="C6" t="s">
        <v>4</v>
      </c>
      <c r="D6" s="2">
        <v>1.4500000000000001E-2</v>
      </c>
    </row>
    <row r="7" spans="1:8" x14ac:dyDescent="0.25">
      <c r="A7" t="s">
        <v>7</v>
      </c>
      <c r="B7" s="6">
        <v>55017</v>
      </c>
      <c r="C7" t="s">
        <v>56</v>
      </c>
      <c r="D7" s="2">
        <v>7.4999999999999997E-2</v>
      </c>
    </row>
    <row r="8" spans="1:8" x14ac:dyDescent="0.25">
      <c r="A8" t="s">
        <v>9</v>
      </c>
      <c r="B8" s="6">
        <v>55006</v>
      </c>
      <c r="C8" t="s">
        <v>18</v>
      </c>
      <c r="D8" s="2">
        <v>6.6000000000000003E-2</v>
      </c>
    </row>
    <row r="9" spans="1:8" x14ac:dyDescent="0.25">
      <c r="A9" t="s">
        <v>10</v>
      </c>
      <c r="B9" s="6">
        <v>55023</v>
      </c>
      <c r="C9" t="s">
        <v>17</v>
      </c>
      <c r="D9" s="2">
        <v>1.9E-2</v>
      </c>
    </row>
    <row r="10" spans="1:8" x14ac:dyDescent="0.25">
      <c r="A10" t="s">
        <v>11</v>
      </c>
      <c r="B10" s="6">
        <v>55001</v>
      </c>
      <c r="C10" t="s">
        <v>14</v>
      </c>
      <c r="D10" s="2">
        <v>1.2500000000000001E-2</v>
      </c>
    </row>
    <row r="11" spans="1:8" x14ac:dyDescent="0.25">
      <c r="A11" t="s">
        <v>44</v>
      </c>
      <c r="B11" s="6">
        <v>55020</v>
      </c>
      <c r="C11" t="s">
        <v>45</v>
      </c>
      <c r="D11" s="2">
        <v>2.5000000000000001E-2</v>
      </c>
    </row>
    <row r="12" spans="1:8" x14ac:dyDescent="0.25">
      <c r="A12" t="s">
        <v>12</v>
      </c>
      <c r="B12" s="6">
        <v>55003</v>
      </c>
      <c r="C12" t="s">
        <v>15</v>
      </c>
      <c r="D12" s="5">
        <v>9.7999999999999997E-4</v>
      </c>
    </row>
    <row r="13" spans="1:8" x14ac:dyDescent="0.25">
      <c r="A13" t="s">
        <v>13</v>
      </c>
      <c r="B13" s="6">
        <v>55004</v>
      </c>
      <c r="C13" t="s">
        <v>16</v>
      </c>
      <c r="D13" s="5">
        <v>2.7000000000000001E-3</v>
      </c>
      <c r="E13" s="30">
        <v>9000</v>
      </c>
    </row>
    <row r="16" spans="1:8" x14ac:dyDescent="0.25">
      <c r="C16" s="26" t="s">
        <v>20</v>
      </c>
    </row>
    <row r="17" spans="1:8" x14ac:dyDescent="0.25">
      <c r="C17" s="27" t="s">
        <v>25</v>
      </c>
      <c r="D17" s="12">
        <f>+AVERAGE(D18:D21)</f>
        <v>0.19143000000000002</v>
      </c>
    </row>
    <row r="18" spans="1:8" x14ac:dyDescent="0.25">
      <c r="C18" s="7" t="s">
        <v>21</v>
      </c>
      <c r="D18" s="2">
        <f>SUM(D5:D7,D10:D13)</f>
        <v>0.19268000000000002</v>
      </c>
    </row>
    <row r="19" spans="1:8" x14ac:dyDescent="0.25">
      <c r="C19" s="7" t="s">
        <v>22</v>
      </c>
      <c r="D19" s="2">
        <f>SUM(D5:D6,D8:D13)</f>
        <v>0.20268000000000003</v>
      </c>
    </row>
    <row r="20" spans="1:8" x14ac:dyDescent="0.25">
      <c r="C20" s="7" t="s">
        <v>23</v>
      </c>
      <c r="D20" s="2">
        <f>SUM(D5:D7,D11:D13)</f>
        <v>0.18018000000000001</v>
      </c>
    </row>
    <row r="21" spans="1:8" x14ac:dyDescent="0.25">
      <c r="C21" s="7" t="s">
        <v>24</v>
      </c>
      <c r="D21" s="2">
        <f>SUM(D5:D6,D8:D9,D11:D13)</f>
        <v>0.19018000000000002</v>
      </c>
    </row>
    <row r="22" spans="1:8" x14ac:dyDescent="0.25">
      <c r="C22" s="7" t="s">
        <v>49</v>
      </c>
      <c r="D22" s="2">
        <f>SUM(D5:D6,D12:D13)</f>
        <v>8.0179999999999987E-2</v>
      </c>
    </row>
    <row r="23" spans="1:8" x14ac:dyDescent="0.25">
      <c r="C23" s="7" t="s">
        <v>48</v>
      </c>
      <c r="D23" s="2">
        <f>SUM(D12:D13)</f>
        <v>3.6800000000000001E-3</v>
      </c>
    </row>
    <row r="26" spans="1:8" x14ac:dyDescent="0.25">
      <c r="A26" t="s">
        <v>38</v>
      </c>
      <c r="B26" s="6">
        <v>55005</v>
      </c>
      <c r="C26" t="s">
        <v>26</v>
      </c>
      <c r="D26" s="14" t="s">
        <v>31</v>
      </c>
      <c r="E26" s="15" t="s">
        <v>33</v>
      </c>
      <c r="F26" s="13"/>
      <c r="G26" s="16" t="s">
        <v>32</v>
      </c>
      <c r="H26" s="15" t="s">
        <v>33</v>
      </c>
    </row>
    <row r="27" spans="1:8" x14ac:dyDescent="0.25">
      <c r="C27" s="25" t="s">
        <v>27</v>
      </c>
      <c r="D27" s="8">
        <v>628.04999999999995</v>
      </c>
      <c r="E27" s="18">
        <f>1803/3229</f>
        <v>0.55837720656550016</v>
      </c>
      <c r="F27" s="10"/>
      <c r="G27" s="8">
        <v>314.02999999999997</v>
      </c>
      <c r="H27" s="18">
        <f>82/96</f>
        <v>0.85416666666666663</v>
      </c>
    </row>
    <row r="28" spans="1:8" x14ac:dyDescent="0.25">
      <c r="C28" s="25" t="s">
        <v>28</v>
      </c>
      <c r="D28" s="8">
        <v>957.27</v>
      </c>
      <c r="E28" s="19">
        <f>422/3229</f>
        <v>0.13069061628987302</v>
      </c>
      <c r="F28" s="11"/>
      <c r="G28" s="8">
        <v>478.64</v>
      </c>
      <c r="H28" s="18">
        <f>9/96</f>
        <v>9.375E-2</v>
      </c>
    </row>
    <row r="29" spans="1:8" x14ac:dyDescent="0.25">
      <c r="C29" s="25" t="s">
        <v>29</v>
      </c>
      <c r="D29" s="8">
        <v>838.7</v>
      </c>
      <c r="E29" s="19">
        <f>405/3229</f>
        <v>0.12542582842985445</v>
      </c>
      <c r="F29" s="11"/>
      <c r="G29" s="8">
        <v>419.35</v>
      </c>
      <c r="H29" s="18">
        <f>1/96</f>
        <v>1.0416666666666666E-2</v>
      </c>
    </row>
    <row r="30" spans="1:8" x14ac:dyDescent="0.25">
      <c r="C30" s="25" t="s">
        <v>30</v>
      </c>
      <c r="D30" s="9">
        <v>1169.8900000000001</v>
      </c>
      <c r="E30" s="20">
        <f>599/3229</f>
        <v>0.18550634871477237</v>
      </c>
      <c r="F30" s="17"/>
      <c r="G30" s="9">
        <v>584.95000000000005</v>
      </c>
      <c r="H30" s="22">
        <f>4/96</f>
        <v>4.1666666666666664E-2</v>
      </c>
    </row>
    <row r="31" spans="1:8" x14ac:dyDescent="0.25">
      <c r="C31" s="7" t="s">
        <v>37</v>
      </c>
      <c r="D31" s="3">
        <f>+ROUND(D27*E27+D28*E28+D29*E29+D30*E30,2)</f>
        <v>798.01</v>
      </c>
      <c r="E31" s="21">
        <f>SUM(E27:E30)</f>
        <v>1</v>
      </c>
      <c r="F31" s="1"/>
      <c r="G31" s="3">
        <f>+ROUND(G27*H27+G28*H28+G29*H29+G30*H30,2)</f>
        <v>341.85</v>
      </c>
      <c r="H31" s="21">
        <f>SUM(H27:H30)</f>
        <v>0.99999999999999989</v>
      </c>
    </row>
    <row r="32" spans="1:8" x14ac:dyDescent="0.25">
      <c r="C32" s="28" t="s">
        <v>36</v>
      </c>
      <c r="D32" s="29">
        <f>+D31*12</f>
        <v>9576.119999999999</v>
      </c>
      <c r="G32" s="3">
        <f>+G31*12</f>
        <v>4102.2000000000007</v>
      </c>
    </row>
    <row r="33" spans="3:4" x14ac:dyDescent="0.25">
      <c r="C33" s="7"/>
      <c r="D33" s="3"/>
    </row>
  </sheetData>
  <mergeCells count="2">
    <mergeCell ref="A1:H1"/>
    <mergeCell ref="A2:H2"/>
  </mergeCell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workbookViewId="0">
      <selection activeCell="A2" sqref="A2:H2"/>
    </sheetView>
  </sheetViews>
  <sheetFormatPr defaultRowHeight="15" x14ac:dyDescent="0.25"/>
  <cols>
    <col min="1" max="1" width="19.85546875" bestFit="1" customWidth="1"/>
    <col min="2" max="2" width="8.140625" bestFit="1" customWidth="1"/>
    <col min="3" max="3" width="41.7109375" bestFit="1" customWidth="1"/>
    <col min="4" max="4" width="9.5703125" style="2" bestFit="1" customWidth="1"/>
    <col min="5" max="5" width="12.85546875" style="4" customWidth="1"/>
    <col min="6" max="6" width="2.5703125" style="4" customWidth="1"/>
    <col min="7" max="7" width="11.140625" bestFit="1" customWidth="1"/>
    <col min="8" max="8" width="12.85546875" bestFit="1" customWidth="1"/>
  </cols>
  <sheetData>
    <row r="1" spans="1:8" ht="21" x14ac:dyDescent="0.35">
      <c r="A1" s="56" t="s">
        <v>39</v>
      </c>
      <c r="B1" s="56"/>
      <c r="C1" s="56"/>
      <c r="D1" s="56"/>
      <c r="E1" s="56"/>
      <c r="F1" s="56"/>
      <c r="G1" s="56"/>
      <c r="H1" s="56"/>
    </row>
    <row r="2" spans="1:8" ht="18.75" x14ac:dyDescent="0.3">
      <c r="A2" s="57" t="s">
        <v>41</v>
      </c>
      <c r="B2" s="57"/>
      <c r="C2" s="57"/>
      <c r="D2" s="57"/>
      <c r="E2" s="57"/>
      <c r="F2" s="57"/>
      <c r="G2" s="57"/>
      <c r="H2" s="57"/>
    </row>
    <row r="4" spans="1:8" s="6" customFormat="1" x14ac:dyDescent="0.25">
      <c r="A4" s="23" t="s">
        <v>19</v>
      </c>
      <c r="B4" s="23" t="s">
        <v>0</v>
      </c>
      <c r="C4" s="23" t="s">
        <v>1</v>
      </c>
      <c r="D4" s="14" t="s">
        <v>8</v>
      </c>
      <c r="E4" s="31" t="s">
        <v>40</v>
      </c>
      <c r="F4" s="16"/>
      <c r="G4" s="24"/>
      <c r="H4" s="24"/>
    </row>
    <row r="5" spans="1:8" x14ac:dyDescent="0.25">
      <c r="A5" t="s">
        <v>2</v>
      </c>
      <c r="B5" s="6">
        <v>55002</v>
      </c>
      <c r="C5" t="s">
        <v>3</v>
      </c>
      <c r="D5" s="2">
        <v>6.2E-2</v>
      </c>
      <c r="E5" s="4" t="s">
        <v>42</v>
      </c>
    </row>
    <row r="6" spans="1:8" x14ac:dyDescent="0.25">
      <c r="A6" t="s">
        <v>5</v>
      </c>
      <c r="B6" s="6">
        <v>55008</v>
      </c>
      <c r="C6" t="s">
        <v>4</v>
      </c>
      <c r="D6" s="2">
        <v>1.4500000000000001E-2</v>
      </c>
    </row>
    <row r="7" spans="1:8" x14ac:dyDescent="0.25">
      <c r="A7" t="s">
        <v>7</v>
      </c>
      <c r="B7" s="6">
        <v>55017</v>
      </c>
      <c r="C7" t="s">
        <v>6</v>
      </c>
      <c r="D7" s="2">
        <v>7.4999999999999997E-2</v>
      </c>
    </row>
    <row r="8" spans="1:8" x14ac:dyDescent="0.25">
      <c r="A8" t="s">
        <v>9</v>
      </c>
      <c r="B8" s="6">
        <v>55006</v>
      </c>
      <c r="C8" t="s">
        <v>18</v>
      </c>
      <c r="D8" s="2">
        <v>6.6000000000000003E-2</v>
      </c>
    </row>
    <row r="9" spans="1:8" x14ac:dyDescent="0.25">
      <c r="A9" t="s">
        <v>10</v>
      </c>
      <c r="B9" s="6">
        <v>55023</v>
      </c>
      <c r="C9" t="s">
        <v>17</v>
      </c>
      <c r="D9" s="2">
        <v>1.9E-2</v>
      </c>
    </row>
    <row r="10" spans="1:8" x14ac:dyDescent="0.25">
      <c r="A10" t="s">
        <v>11</v>
      </c>
      <c r="B10" s="6">
        <v>55001</v>
      </c>
      <c r="C10" t="s">
        <v>14</v>
      </c>
      <c r="D10" s="2">
        <v>0.01</v>
      </c>
    </row>
    <row r="11" spans="1:8" x14ac:dyDescent="0.25">
      <c r="A11" t="s">
        <v>12</v>
      </c>
      <c r="B11" s="6">
        <v>55003</v>
      </c>
      <c r="C11" t="s">
        <v>15</v>
      </c>
      <c r="D11" s="5">
        <v>8.8000000000000003E-4</v>
      </c>
    </row>
    <row r="12" spans="1:8" x14ac:dyDescent="0.25">
      <c r="A12" t="s">
        <v>13</v>
      </c>
      <c r="B12" s="6">
        <v>55004</v>
      </c>
      <c r="C12" t="s">
        <v>16</v>
      </c>
      <c r="D12" s="5">
        <v>2.2399999999999998E-3</v>
      </c>
      <c r="E12" s="30">
        <v>9000</v>
      </c>
    </row>
    <row r="15" spans="1:8" x14ac:dyDescent="0.25">
      <c r="C15" s="26" t="s">
        <v>20</v>
      </c>
    </row>
    <row r="16" spans="1:8" x14ac:dyDescent="0.25">
      <c r="C16" s="27" t="s">
        <v>25</v>
      </c>
      <c r="D16" s="12">
        <f>+AVERAGE(D17:D20)</f>
        <v>0.16461999999999999</v>
      </c>
    </row>
    <row r="17" spans="1:8" x14ac:dyDescent="0.25">
      <c r="C17" s="7" t="s">
        <v>21</v>
      </c>
      <c r="D17" s="2">
        <f>SUM(D5:D7,D10:D12)</f>
        <v>0.16461999999999999</v>
      </c>
    </row>
    <row r="18" spans="1:8" x14ac:dyDescent="0.25">
      <c r="C18" s="7" t="s">
        <v>22</v>
      </c>
      <c r="D18" s="2">
        <f>SUM(D5:D6,D8:D12)</f>
        <v>0.17462</v>
      </c>
    </row>
    <row r="19" spans="1:8" x14ac:dyDescent="0.25">
      <c r="C19" s="7" t="s">
        <v>23</v>
      </c>
      <c r="D19" s="2">
        <f>SUM(D5:D7,D11:D12)</f>
        <v>0.15461999999999998</v>
      </c>
    </row>
    <row r="20" spans="1:8" x14ac:dyDescent="0.25">
      <c r="C20" s="7" t="s">
        <v>24</v>
      </c>
      <c r="D20" s="2">
        <f>SUM(D5:D6,D8:D9,D11:D12)</f>
        <v>0.16461999999999999</v>
      </c>
    </row>
    <row r="21" spans="1:8" x14ac:dyDescent="0.25">
      <c r="C21" s="7" t="s">
        <v>49</v>
      </c>
      <c r="D21" s="2">
        <f>SUM(D5:D6,D11:D12)</f>
        <v>7.962000000000001E-2</v>
      </c>
    </row>
    <row r="22" spans="1:8" x14ac:dyDescent="0.25">
      <c r="C22" s="7" t="s">
        <v>48</v>
      </c>
      <c r="D22" s="2">
        <f>SUM(D11:D12)</f>
        <v>3.1199999999999999E-3</v>
      </c>
    </row>
    <row r="25" spans="1:8" x14ac:dyDescent="0.25">
      <c r="A25" t="s">
        <v>38</v>
      </c>
      <c r="B25" s="6">
        <v>55005</v>
      </c>
      <c r="C25" t="s">
        <v>26</v>
      </c>
      <c r="D25" s="14" t="s">
        <v>31</v>
      </c>
      <c r="E25" s="15" t="s">
        <v>33</v>
      </c>
      <c r="F25" s="13"/>
      <c r="G25" s="16" t="s">
        <v>32</v>
      </c>
      <c r="H25" s="15" t="s">
        <v>33</v>
      </c>
    </row>
    <row r="26" spans="1:8" x14ac:dyDescent="0.25">
      <c r="C26" s="25" t="s">
        <v>27</v>
      </c>
      <c r="D26" s="8">
        <v>628.04999999999995</v>
      </c>
      <c r="E26" s="18">
        <f>1762/3126</f>
        <v>0.56365962891874599</v>
      </c>
      <c r="F26" s="10"/>
      <c r="G26" s="8">
        <v>314.02999999999997</v>
      </c>
      <c r="H26" s="18">
        <f>71/92</f>
        <v>0.77173913043478259</v>
      </c>
    </row>
    <row r="27" spans="1:8" x14ac:dyDescent="0.25">
      <c r="C27" s="25" t="s">
        <v>28</v>
      </c>
      <c r="D27" s="8">
        <v>957.27</v>
      </c>
      <c r="E27" s="19">
        <f>414/3126</f>
        <v>0.1324376199616123</v>
      </c>
      <c r="F27" s="11"/>
      <c r="G27" s="8">
        <v>478.64</v>
      </c>
      <c r="H27" s="18">
        <f>12/92</f>
        <v>0.13043478260869565</v>
      </c>
    </row>
    <row r="28" spans="1:8" x14ac:dyDescent="0.25">
      <c r="C28" s="25" t="s">
        <v>29</v>
      </c>
      <c r="D28" s="8">
        <v>838.7</v>
      </c>
      <c r="E28" s="19">
        <f>373/3126</f>
        <v>0.11932181701855406</v>
      </c>
      <c r="F28" s="11"/>
      <c r="G28" s="8">
        <v>419.35</v>
      </c>
      <c r="H28" s="18">
        <f>2/92</f>
        <v>2.1739130434782608E-2</v>
      </c>
    </row>
    <row r="29" spans="1:8" x14ac:dyDescent="0.25">
      <c r="C29" s="25" t="s">
        <v>30</v>
      </c>
      <c r="D29" s="9">
        <v>1169.8900000000001</v>
      </c>
      <c r="E29" s="20">
        <f>577/3126</f>
        <v>0.18458093410108764</v>
      </c>
      <c r="F29" s="17"/>
      <c r="G29" s="9">
        <v>584.95000000000005</v>
      </c>
      <c r="H29" s="22">
        <f>7/92</f>
        <v>7.6086956521739135E-2</v>
      </c>
    </row>
    <row r="30" spans="1:8" x14ac:dyDescent="0.25">
      <c r="C30" s="7" t="s">
        <v>37</v>
      </c>
      <c r="D30" s="3">
        <f>+ROUND(D26*E26+D27*E27+D28*E28+D29*E29,2)</f>
        <v>796.8</v>
      </c>
      <c r="E30" s="21">
        <f>SUM(E26:E29)</f>
        <v>1</v>
      </c>
      <c r="F30" s="1"/>
      <c r="G30" s="3">
        <f>+ROUND(G26*H26+G27*H27+G28*H28+G29*H29,2)</f>
        <v>358.4</v>
      </c>
      <c r="H30" s="21">
        <f>SUM(H26:H29)</f>
        <v>1</v>
      </c>
    </row>
    <row r="31" spans="1:8" x14ac:dyDescent="0.25">
      <c r="C31" s="28" t="s">
        <v>36</v>
      </c>
      <c r="D31" s="29">
        <f>+D30*12</f>
        <v>9561.5999999999985</v>
      </c>
      <c r="G31" s="3">
        <f>+G30*12</f>
        <v>4300.7999999999993</v>
      </c>
    </row>
    <row r="32" spans="1:8" x14ac:dyDescent="0.25">
      <c r="C32" s="7"/>
      <c r="D32" s="3"/>
    </row>
  </sheetData>
  <mergeCells count="2">
    <mergeCell ref="A1:H1"/>
    <mergeCell ref="A2:H2"/>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
  <sheetViews>
    <sheetView workbookViewId="0">
      <selection activeCell="A2" sqref="A2:H2"/>
    </sheetView>
  </sheetViews>
  <sheetFormatPr defaultRowHeight="15" x14ac:dyDescent="0.25"/>
  <cols>
    <col min="1" max="1" width="19.85546875" bestFit="1" customWidth="1"/>
    <col min="2" max="2" width="8.140625" bestFit="1" customWidth="1"/>
    <col min="3" max="3" width="41.7109375" bestFit="1" customWidth="1"/>
    <col min="4" max="4" width="9.5703125" style="2" bestFit="1" customWidth="1"/>
    <col min="5" max="5" width="12.85546875" style="4" customWidth="1"/>
    <col min="6" max="6" width="2.5703125" style="4" customWidth="1"/>
    <col min="7" max="7" width="11.140625" bestFit="1" customWidth="1"/>
    <col min="8" max="8" width="12.85546875" bestFit="1" customWidth="1"/>
  </cols>
  <sheetData>
    <row r="1" spans="1:8" ht="21" x14ac:dyDescent="0.35">
      <c r="A1" s="56" t="s">
        <v>39</v>
      </c>
      <c r="B1" s="56"/>
      <c r="C1" s="56"/>
      <c r="D1" s="56"/>
      <c r="E1" s="56"/>
      <c r="F1" s="56"/>
      <c r="G1" s="56"/>
      <c r="H1" s="56"/>
    </row>
    <row r="2" spans="1:8" ht="18.75" x14ac:dyDescent="0.3">
      <c r="A2" s="57" t="s">
        <v>34</v>
      </c>
      <c r="B2" s="57"/>
      <c r="C2" s="57"/>
      <c r="D2" s="57"/>
      <c r="E2" s="57"/>
      <c r="F2" s="57"/>
      <c r="G2" s="57"/>
      <c r="H2" s="57"/>
    </row>
    <row r="4" spans="1:8" s="6" customFormat="1" x14ac:dyDescent="0.25">
      <c r="A4" s="23" t="s">
        <v>19</v>
      </c>
      <c r="B4" s="23" t="s">
        <v>0</v>
      </c>
      <c r="C4" s="23" t="s">
        <v>1</v>
      </c>
      <c r="D4" s="14" t="s">
        <v>8</v>
      </c>
      <c r="E4" s="31" t="s">
        <v>40</v>
      </c>
      <c r="F4" s="16"/>
      <c r="G4" s="24"/>
      <c r="H4" s="24"/>
    </row>
    <row r="5" spans="1:8" x14ac:dyDescent="0.25">
      <c r="A5" t="s">
        <v>2</v>
      </c>
      <c r="B5" s="6">
        <v>55002</v>
      </c>
      <c r="C5" t="s">
        <v>3</v>
      </c>
      <c r="D5" s="2">
        <v>6.2E-2</v>
      </c>
      <c r="E5" s="4" t="s">
        <v>35</v>
      </c>
    </row>
    <row r="6" spans="1:8" x14ac:dyDescent="0.25">
      <c r="A6" t="s">
        <v>5</v>
      </c>
      <c r="B6" s="6">
        <v>55008</v>
      </c>
      <c r="C6" t="s">
        <v>4</v>
      </c>
      <c r="D6" s="2">
        <v>1.4500000000000001E-2</v>
      </c>
    </row>
    <row r="7" spans="1:8" x14ac:dyDescent="0.25">
      <c r="A7" t="s">
        <v>7</v>
      </c>
      <c r="B7" s="6">
        <v>55017</v>
      </c>
      <c r="C7" t="s">
        <v>6</v>
      </c>
      <c r="D7" s="2">
        <v>6.8000000000000005E-2</v>
      </c>
    </row>
    <row r="8" spans="1:8" x14ac:dyDescent="0.25">
      <c r="A8" t="s">
        <v>9</v>
      </c>
      <c r="B8" s="6">
        <v>55006</v>
      </c>
      <c r="C8" t="s">
        <v>18</v>
      </c>
      <c r="D8" s="2">
        <v>6.6000000000000003E-2</v>
      </c>
    </row>
    <row r="9" spans="1:8" x14ac:dyDescent="0.25">
      <c r="A9" t="s">
        <v>10</v>
      </c>
      <c r="B9" s="6">
        <v>55023</v>
      </c>
      <c r="C9" t="s">
        <v>17</v>
      </c>
      <c r="D9" s="2">
        <v>1.9E-2</v>
      </c>
    </row>
    <row r="10" spans="1:8" x14ac:dyDescent="0.25">
      <c r="A10" t="s">
        <v>11</v>
      </c>
      <c r="B10" s="6">
        <v>55001</v>
      </c>
      <c r="C10" t="s">
        <v>14</v>
      </c>
      <c r="D10" s="2">
        <v>8.3000000000000001E-3</v>
      </c>
    </row>
    <row r="11" spans="1:8" x14ac:dyDescent="0.25">
      <c r="A11" t="s">
        <v>12</v>
      </c>
      <c r="B11" s="6">
        <v>55003</v>
      </c>
      <c r="C11" t="s">
        <v>15</v>
      </c>
      <c r="D11" s="5">
        <v>9.2000000000000003E-4</v>
      </c>
    </row>
    <row r="12" spans="1:8" x14ac:dyDescent="0.25">
      <c r="A12" t="s">
        <v>13</v>
      </c>
      <c r="B12" s="6">
        <v>55004</v>
      </c>
      <c r="C12" t="s">
        <v>16</v>
      </c>
      <c r="D12" s="5">
        <v>2.4199999999999998E-3</v>
      </c>
      <c r="E12" s="30">
        <v>9000</v>
      </c>
    </row>
    <row r="15" spans="1:8" x14ac:dyDescent="0.25">
      <c r="C15" s="26" t="s">
        <v>20</v>
      </c>
    </row>
    <row r="16" spans="1:8" x14ac:dyDescent="0.25">
      <c r="C16" s="27" t="s">
        <v>25</v>
      </c>
      <c r="D16" s="12">
        <f>+AVERAGE(D17:D20)</f>
        <v>0.16049000000000002</v>
      </c>
    </row>
    <row r="17" spans="1:8" x14ac:dyDescent="0.25">
      <c r="C17" s="7" t="s">
        <v>21</v>
      </c>
      <c r="D17" s="2">
        <f>SUM(D5:D7,D10:D12)</f>
        <v>0.15614000000000003</v>
      </c>
    </row>
    <row r="18" spans="1:8" x14ac:dyDescent="0.25">
      <c r="C18" s="7" t="s">
        <v>22</v>
      </c>
      <c r="D18" s="2">
        <f>SUM(D5:D6,D8:D12)</f>
        <v>0.17314000000000002</v>
      </c>
    </row>
    <row r="19" spans="1:8" x14ac:dyDescent="0.25">
      <c r="C19" s="7" t="s">
        <v>23</v>
      </c>
      <c r="D19" s="2">
        <f>SUM(D5:D7,D11:D12)</f>
        <v>0.14784000000000003</v>
      </c>
    </row>
    <row r="20" spans="1:8" x14ac:dyDescent="0.25">
      <c r="C20" s="7" t="s">
        <v>24</v>
      </c>
      <c r="D20" s="2">
        <f>SUM(D5:D6,D8:D9,D11:D12)</f>
        <v>0.16484000000000001</v>
      </c>
    </row>
    <row r="21" spans="1:8" x14ac:dyDescent="0.25">
      <c r="C21" s="7" t="s">
        <v>49</v>
      </c>
      <c r="D21" s="2">
        <f>SUM(D5:D6,D11:D12)</f>
        <v>7.9840000000000008E-2</v>
      </c>
    </row>
    <row r="22" spans="1:8" x14ac:dyDescent="0.25">
      <c r="C22" s="7" t="s">
        <v>48</v>
      </c>
      <c r="D22" s="2">
        <f>SUM(D11:D12)</f>
        <v>3.3400000000000001E-3</v>
      </c>
    </row>
    <row r="25" spans="1:8" x14ac:dyDescent="0.25">
      <c r="A25" t="s">
        <v>38</v>
      </c>
      <c r="B25" s="6">
        <v>55005</v>
      </c>
      <c r="C25" t="s">
        <v>26</v>
      </c>
      <c r="D25" s="14" t="s">
        <v>31</v>
      </c>
      <c r="E25" s="15" t="s">
        <v>33</v>
      </c>
      <c r="F25" s="13"/>
      <c r="G25" s="16" t="s">
        <v>32</v>
      </c>
      <c r="H25" s="15" t="s">
        <v>33</v>
      </c>
    </row>
    <row r="26" spans="1:8" x14ac:dyDescent="0.25">
      <c r="C26" s="25" t="s">
        <v>27</v>
      </c>
      <c r="D26" s="8">
        <v>598.14</v>
      </c>
      <c r="E26" s="18">
        <f>1762/3126</f>
        <v>0.56365962891874599</v>
      </c>
      <c r="F26" s="10"/>
      <c r="G26" s="8">
        <v>299.07</v>
      </c>
      <c r="H26" s="18">
        <f>71/92</f>
        <v>0.77173913043478259</v>
      </c>
    </row>
    <row r="27" spans="1:8" x14ac:dyDescent="0.25">
      <c r="C27" s="25" t="s">
        <v>28</v>
      </c>
      <c r="D27" s="8">
        <v>911.69</v>
      </c>
      <c r="E27" s="19">
        <f>414/3126</f>
        <v>0.1324376199616123</v>
      </c>
      <c r="F27" s="11"/>
      <c r="G27" s="8">
        <v>455.85</v>
      </c>
      <c r="H27" s="18">
        <f>12/92</f>
        <v>0.13043478260869565</v>
      </c>
    </row>
    <row r="28" spans="1:8" x14ac:dyDescent="0.25">
      <c r="C28" s="25" t="s">
        <v>29</v>
      </c>
      <c r="D28" s="8">
        <v>798.76</v>
      </c>
      <c r="E28" s="19">
        <f>373/3126</f>
        <v>0.11932181701855406</v>
      </c>
      <c r="F28" s="11"/>
      <c r="G28" s="8">
        <v>399.38</v>
      </c>
      <c r="H28" s="18">
        <f>2/92</f>
        <v>2.1739130434782608E-2</v>
      </c>
    </row>
    <row r="29" spans="1:8" x14ac:dyDescent="0.25">
      <c r="C29" s="25" t="s">
        <v>30</v>
      </c>
      <c r="D29" s="9">
        <v>1114.18</v>
      </c>
      <c r="E29" s="20">
        <f>577/3126</f>
        <v>0.18458093410108764</v>
      </c>
      <c r="F29" s="17"/>
      <c r="G29" s="9">
        <v>557.09</v>
      </c>
      <c r="H29" s="22">
        <f>7/92</f>
        <v>7.6086956521739135E-2</v>
      </c>
    </row>
    <row r="30" spans="1:8" x14ac:dyDescent="0.25">
      <c r="C30" s="7" t="s">
        <v>37</v>
      </c>
      <c r="D30" s="3">
        <f>+ROUND(D26*E26+D27*E27+D28*E28+D29*E29,2)</f>
        <v>758.86</v>
      </c>
      <c r="E30" s="21">
        <f>SUM(E26:E29)</f>
        <v>1</v>
      </c>
      <c r="F30" s="1"/>
      <c r="G30" s="3">
        <f>+ROUND(G26*H26+G27*H27+G28*H28+G29*H29,2)</f>
        <v>341.33</v>
      </c>
      <c r="H30" s="21">
        <f>SUM(H26:H29)</f>
        <v>1</v>
      </c>
    </row>
    <row r="31" spans="1:8" x14ac:dyDescent="0.25">
      <c r="C31" s="28" t="s">
        <v>36</v>
      </c>
      <c r="D31" s="29">
        <f>+D30*12</f>
        <v>9106.32</v>
      </c>
      <c r="G31" s="3">
        <f>+G30*12</f>
        <v>4095.96</v>
      </c>
    </row>
    <row r="32" spans="1:8" x14ac:dyDescent="0.25">
      <c r="C32" s="7"/>
      <c r="D32" s="3"/>
    </row>
  </sheetData>
  <mergeCells count="2">
    <mergeCell ref="A1:H1"/>
    <mergeCell ref="A2:H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FY24</vt:lpstr>
      <vt:lpstr>FY23</vt:lpstr>
      <vt:lpstr>FY22</vt:lpstr>
      <vt:lpstr>FY21</vt:lpstr>
      <vt:lpstr>FY20</vt:lpstr>
      <vt:lpstr>FY19</vt:lpstr>
    </vt:vector>
  </TitlesOfParts>
  <Company>University of Texas at Dallas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Burnett, Eva</dc:creator>
  <cp:lastModifiedBy>Burnett, Eva</cp:lastModifiedBy>
  <cp:lastPrinted>2023-09-14T14:48:59Z</cp:lastPrinted>
  <dcterms:created xsi:type="dcterms:W3CDTF">2019-04-29T19:34:47Z</dcterms:created>
  <dcterms:modified xsi:type="dcterms:W3CDTF">2024-03-26T13:47:46Z</dcterms:modified>
</cp:coreProperties>
</file>